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ONTE.BARRAGEM" sheetId="1" r:id="rId1"/>
  </sheets>
  <definedNames>
    <definedName name="_xlnm.Print_Area" localSheetId="0">'PONTE.BARRAGEM'!$A$1:$I$100</definedName>
    <definedName name="_xlnm.Print_Titles" localSheetId="0">'PONTE.BARRAGEM'!$2:$9</definedName>
  </definedNames>
  <calcPr fullCalcOnLoad="1"/>
</workbook>
</file>

<file path=xl/sharedStrings.xml><?xml version="1.0" encoding="utf-8"?>
<sst xmlns="http://schemas.openxmlformats.org/spreadsheetml/2006/main" count="371" uniqueCount="243">
  <si>
    <t>OBRA:</t>
  </si>
  <si>
    <t>LOCAL:</t>
  </si>
  <si>
    <t>ITEM</t>
  </si>
  <si>
    <t>DESCRIÇÃO</t>
  </si>
  <si>
    <t>UNID.</t>
  </si>
  <si>
    <t>QUANT.</t>
  </si>
  <si>
    <t>PREÇO TOTAL  (R$)</t>
  </si>
  <si>
    <t>VALOR UNIT.</t>
  </si>
  <si>
    <t>SERVIÇOS PRELIMINARES</t>
  </si>
  <si>
    <t>SERVIÇOS COMPLEMENTARES</t>
  </si>
  <si>
    <t>kg</t>
  </si>
  <si>
    <t>m³</t>
  </si>
  <si>
    <t>m²</t>
  </si>
  <si>
    <t>FONTE:</t>
  </si>
  <si>
    <t>unid</t>
  </si>
  <si>
    <t>PAISAGISMO</t>
  </si>
  <si>
    <t>m</t>
  </si>
  <si>
    <t>6.1</t>
  </si>
  <si>
    <t>7.1</t>
  </si>
  <si>
    <t>7.2</t>
  </si>
  <si>
    <t>Reaterro compactado mecanizado de vala ou cava com compactador</t>
  </si>
  <si>
    <t>PREFEITO MUNICIPAL</t>
  </si>
  <si>
    <t>Construção provisória em madeira - fornecimento e montagem</t>
  </si>
  <si>
    <t>Placa de identificação para obra</t>
  </si>
  <si>
    <t>02.08.020</t>
  </si>
  <si>
    <t>02.09.030</t>
  </si>
  <si>
    <t>07.10.020</t>
  </si>
  <si>
    <t>Espalhamento de solo em bota-fora com compactação sem controle</t>
  </si>
  <si>
    <t>55.01.020</t>
  </si>
  <si>
    <t>Limpeza final da obra</t>
  </si>
  <si>
    <t>Limpeza mecanizada de terreno</t>
  </si>
  <si>
    <t>02.09.040</t>
  </si>
  <si>
    <t>02.10.060</t>
  </si>
  <si>
    <t>Locação de vias, calçadas, tanques e lagoas</t>
  </si>
  <si>
    <t>Escavação mecanizada em solo brejoso ou turfa</t>
  </si>
  <si>
    <t>05.10.030</t>
  </si>
  <si>
    <t>Transporte de solo brejoso por caminhão até o 2º km</t>
  </si>
  <si>
    <t>07.11.020</t>
  </si>
  <si>
    <t>Gabião tipo caixa altura de 50cm - Revestido de PVC</t>
  </si>
  <si>
    <t>Gabião tipo caixa altura de 1,00m - Revestido de PVC</t>
  </si>
  <si>
    <t>DER</t>
  </si>
  <si>
    <t>Escavação e carga mecanizada para exploração de solo em jazida</t>
  </si>
  <si>
    <t>Transporte de solo de 1ª e 2ª categoria por caminhão até o 2° km</t>
  </si>
  <si>
    <t>05.10.020</t>
  </si>
  <si>
    <t>07.01.010</t>
  </si>
  <si>
    <t>Manta geotêxtil com resistência à tração longitudinal de 10kN/m e transversal de 9kN/m</t>
  </si>
  <si>
    <t>Geomembrana em polietileno de alta densidade PEAD de 1,0 mm</t>
  </si>
  <si>
    <t>08.05.180</t>
  </si>
  <si>
    <t>11.18.140</t>
  </si>
  <si>
    <t xml:space="preserve">CÓRREGO MONJOLINHO - PROLONGAMENTO DA RUA APARECIDO ROBERTO OZANA, entre os Jardim das Acácias e Jardim São José - ITAJOBI -SP </t>
  </si>
  <si>
    <t>2.0</t>
  </si>
  <si>
    <t>07.01.020</t>
  </si>
  <si>
    <t>05.10.022</t>
  </si>
  <si>
    <t>07.12.020</t>
  </si>
  <si>
    <t>54.01.400</t>
  </si>
  <si>
    <t>54.03.240</t>
  </si>
  <si>
    <t>54.03.230</t>
  </si>
  <si>
    <t>54.03.210</t>
  </si>
  <si>
    <t>3.0</t>
  </si>
  <si>
    <t>54.06.150</t>
  </si>
  <si>
    <t>11.01.630</t>
  </si>
  <si>
    <t>4.0</t>
  </si>
  <si>
    <t>10.01.060</t>
  </si>
  <si>
    <t>11.16.040</t>
  </si>
  <si>
    <t>11.16.060</t>
  </si>
  <si>
    <t>17.01.020</t>
  </si>
  <si>
    <t>5.0</t>
  </si>
  <si>
    <t>5.1</t>
  </si>
  <si>
    <t>5.2</t>
  </si>
  <si>
    <t>6.0</t>
  </si>
  <si>
    <t>6.2</t>
  </si>
  <si>
    <t>30.04.030</t>
  </si>
  <si>
    <t>7.0</t>
  </si>
  <si>
    <t>34.01.020</t>
  </si>
  <si>
    <t>34.02.040</t>
  </si>
  <si>
    <t>8.0</t>
  </si>
  <si>
    <t>PAVIMENTAÇÃO ASFÁLTICA</t>
  </si>
  <si>
    <t>aterro</t>
  </si>
  <si>
    <t>Compactação de aterro mecanizado mínimo de 95% PN, sem fornecimento de solo em campo aberto</t>
  </si>
  <si>
    <t xml:space="preserve">prolongamento da rua Aparecido Roberto Ozana </t>
  </si>
  <si>
    <t>GUIAS E SARJETAS</t>
  </si>
  <si>
    <t>CÓRREGO MONJOLINHO</t>
  </si>
  <si>
    <t xml:space="preserve">ala montante e jusante </t>
  </si>
  <si>
    <t>Lançamento e adensamento de concreto ou massa em fundação</t>
  </si>
  <si>
    <t>Lançamento e adensamento de concreto ou massa em estrutura</t>
  </si>
  <si>
    <t>tubo celular</t>
  </si>
  <si>
    <t>SINALIZAÇÃO VIÁRIA</t>
  </si>
  <si>
    <t>sinalização horizontal</t>
  </si>
  <si>
    <t>calçada</t>
  </si>
  <si>
    <t>Piso com requadro em concreto simples com controle de fck= 20 Mpa e=5cm</t>
  </si>
  <si>
    <t>rampa de acessibilidade</t>
  </si>
  <si>
    <t>Plantio de Grama</t>
  </si>
  <si>
    <t>Plantio de grama batatais em placas (jardins e canteiros)</t>
  </si>
  <si>
    <t> 17.05.070</t>
  </si>
  <si>
    <t xml:space="preserve"> 28.01.04.01.99</t>
  </si>
  <si>
    <t>28.06.12.99</t>
  </si>
  <si>
    <t>28.01.04.01.99</t>
  </si>
  <si>
    <t>tubo de concreto circular</t>
  </si>
  <si>
    <t>Tubo de concreto (PA-3), DN= 1000mm</t>
  </si>
  <si>
    <t>46.12.200</t>
  </si>
  <si>
    <t>Boca de lobo simples tipo PMSP com tampa de concreto</t>
  </si>
  <si>
    <t>49.12.010</t>
  </si>
  <si>
    <t>08.05.010</t>
  </si>
  <si>
    <t>1.0</t>
  </si>
  <si>
    <t>3.1</t>
  </si>
  <si>
    <t>3.2</t>
  </si>
  <si>
    <t>5.3</t>
  </si>
  <si>
    <t>8.1</t>
  </si>
  <si>
    <t>9.0</t>
  </si>
  <si>
    <t>CALÇADA EM CONCRETO - e=5,00 cm - l=1,50 m</t>
  </si>
  <si>
    <t>24.03.690</t>
  </si>
  <si>
    <t xml:space="preserve">PROTEÇÃO DE MARGEM EM GABIÃO - BARRAMENTO E PONTE </t>
  </si>
  <si>
    <t>09.02.140</t>
  </si>
  <si>
    <t>Escavação e carga de terra em caminhão basculante de 6 m³, distância até o 5º km (base)</t>
  </si>
  <si>
    <t>Transporte de solo até o 5º Km</t>
  </si>
  <si>
    <t>Abertura e preparo de caixa até 25 cm, incluso escavação, compactação, transporte e preparo do subleito mínimo de 95% do PN</t>
  </si>
  <si>
    <t>Imprimação betuminosa impermeabilizante</t>
  </si>
  <si>
    <t>Imprimação betuminosa ligante</t>
  </si>
  <si>
    <t>Camada de rolamento em concreto asfáltico usinado a quente - (CBUQ) - espessura = 4,00 cm aplicado</t>
  </si>
  <si>
    <t>Execução de perfil extrudado no local Perfil 45</t>
  </si>
  <si>
    <t>Concreto usinado, para perfil extrudado</t>
  </si>
  <si>
    <t>Embasamento de material granular - rachão - e=40cm</t>
  </si>
  <si>
    <t>Forma para estruturas de concreto, em chapa de madeira compensada resinada de 1,10x2,20, espessura 12mm, 02 utilizações (fabricação, montagem e desmontagem)</t>
  </si>
  <si>
    <t>Suporte tubular galvanizado 2 1/2”</t>
  </si>
  <si>
    <t>Placas “R1” - fornecimento e transporte de placa de aço GT+GT</t>
  </si>
  <si>
    <t>Placas “R19” - fornecimento e transporte de placa de aço GT+GT</t>
  </si>
  <si>
    <t>Limpeza manual de terreno com raspagem superficial</t>
  </si>
  <si>
    <t>Piso em ladrilho hidráulico podotátil (25x25x2,5cm), assentado com argamassa mista</t>
  </si>
  <si>
    <t>Limpeza e regularização para áreas de ajardinamento</t>
  </si>
  <si>
    <t>02.01.021</t>
  </si>
  <si>
    <t>CDHU</t>
  </si>
  <si>
    <t>SIDIOMAR UJAQUE</t>
  </si>
  <si>
    <t>24.09.04.05.99</t>
  </si>
  <si>
    <t>24.09.04.08.99</t>
  </si>
  <si>
    <t>24.09.06.03.99</t>
  </si>
  <si>
    <t>24.09.07.03.99</t>
  </si>
  <si>
    <t>Concreto usinado fck=25 Mpa, (fundo)</t>
  </si>
  <si>
    <t>11.01.130</t>
  </si>
  <si>
    <t>Concreto usinado fck=25 Mpa (paredes)</t>
  </si>
  <si>
    <t>Sinalização horizontal em tinta a base de resina acrílica emulsionada em água</t>
  </si>
  <si>
    <t>70.02.022</t>
  </si>
  <si>
    <r>
      <t xml:space="preserve">      </t>
    </r>
    <r>
      <rPr>
        <sz val="36"/>
        <color indexed="8"/>
        <rFont val="Arial"/>
        <family val="2"/>
      </rPr>
      <t xml:space="preserve">       Prefeitura do Município de Itajobi</t>
    </r>
  </si>
  <si>
    <r>
      <t xml:space="preserve">                                                           </t>
    </r>
    <r>
      <rPr>
        <b/>
        <sz val="14"/>
        <color indexed="8"/>
        <rFont val="Arial"/>
        <family val="2"/>
      </rPr>
      <t xml:space="preserve">       ESTADO DE SÃO PAULO     </t>
    </r>
    <r>
      <rPr>
        <b/>
        <sz val="14"/>
        <color indexed="8"/>
        <rFont val="Lucida Sans Unicode"/>
        <family val="2"/>
      </rPr>
      <t xml:space="preserve">- </t>
    </r>
    <r>
      <rPr>
        <b/>
        <sz val="14"/>
        <color indexed="8"/>
        <rFont val="Arial"/>
        <family val="2"/>
      </rPr>
      <t xml:space="preserve">     CNPJ 45.126.851/0001-13</t>
    </r>
  </si>
  <si>
    <t>BDI =25,00%</t>
  </si>
  <si>
    <t>Grade de proteção eletrofundida, malha 30 x 100 mm, com barra de 40 x 2 mm H=1,00m ((90,83+19,66+16,86)*2) metros.</t>
  </si>
  <si>
    <t>Argamassa traço 1:4 (cimento e pedrisco), preparo manual), para rejuntamento interno e externo dos tubos de concreto</t>
  </si>
  <si>
    <t>Aduelas de concreto (2,00m x 2,00m)</t>
  </si>
  <si>
    <t>PMI</t>
  </si>
  <si>
    <t>Tubo de concreto (PA-3), DN= 600mm</t>
  </si>
  <si>
    <t>46.12.180</t>
  </si>
  <si>
    <t>72.27.01.99.04</t>
  </si>
  <si>
    <t xml:space="preserve">ESCAVADEIRA HIDR.S/EST.0,7M3 COND. D (para colocação das aduelas).                                           </t>
  </si>
  <si>
    <t>hora</t>
  </si>
  <si>
    <t>02.01.180</t>
  </si>
  <si>
    <t>Banheiro químico modelo Standard, com manutenção conforme exigências da CETESB</t>
  </si>
  <si>
    <t>unxmês</t>
  </si>
  <si>
    <t>EXECUÇÃO DE BARRAMENTO EM GABIÕES</t>
  </si>
  <si>
    <t>Limpeza manual do terreno ( para a construção provisória em madeira )</t>
  </si>
  <si>
    <t>Manta geotextil 200 g/m² (entorno das juntas das aduelas, largura 30cm)</t>
  </si>
  <si>
    <t>WANDERSON FREITAS DE SARRO</t>
  </si>
  <si>
    <t>CREA N° 5069650745</t>
  </si>
  <si>
    <t>Limpeza geral da obra (guias e sarjetas)</t>
  </si>
  <si>
    <t xml:space="preserve">CDHU 185 - 07/03/2022 - DER 31/03/2022 - C/DESONERAÇÃO </t>
  </si>
  <si>
    <t>Gabião tipo colchão espessura 23 cm - Tela PVC (cascata)</t>
  </si>
  <si>
    <t>Gabião tipo colchão espessura 30 cm - Tela PVC (espelho d'água II)</t>
  </si>
  <si>
    <t>Lastro e/ou fundação em rachão mecanizado (base do barramento em gabião)</t>
  </si>
  <si>
    <t>CÓDIGO</t>
  </si>
  <si>
    <t>REFER.</t>
  </si>
  <si>
    <t>1.1</t>
  </si>
  <si>
    <t>5.5</t>
  </si>
  <si>
    <t>1.2</t>
  </si>
  <si>
    <t>1.3</t>
  </si>
  <si>
    <t>1.4</t>
  </si>
  <si>
    <t>1.5</t>
  </si>
  <si>
    <t>2.1</t>
  </si>
  <si>
    <t>5.9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</si>
  <si>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</si>
  <si>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</si>
  <si>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</si>
  <si>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</si>
  <si>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</si>
  <si>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</si>
  <si>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</si>
  <si>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</si>
  <si>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</si>
  <si>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</si>
  <si>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</si>
  <si>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</si>
  <si>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</si>
  <si>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</si>
  <si>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3.3</t>
  </si>
  <si>
    <t>3.4</t>
  </si>
  <si>
    <t>3.5</t>
  </si>
  <si>
    <t>3.6</t>
  </si>
  <si>
    <t>3.7</t>
  </si>
  <si>
    <t>4.1</t>
  </si>
  <si>
    <t>4.2</t>
  </si>
  <si>
    <t>5.4</t>
  </si>
  <si>
    <t>5.6</t>
  </si>
  <si>
    <t>5.7</t>
  </si>
  <si>
    <t>5.8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</si>
  <si>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</si>
  <si>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</si>
  <si>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</si>
  <si>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</si>
  <si>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</si>
  <si>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</si>
  <si>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</si>
  <si>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</si>
  <si>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</si>
  <si>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</si>
  <si>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6.3</t>
  </si>
  <si>
    <t>6.4</t>
  </si>
  <si>
    <t>7.3</t>
  </si>
  <si>
    <t>8.2</t>
  </si>
  <si>
    <t>9.1</t>
  </si>
  <si>
    <t xml:space="preserve">             sinalização vertical</t>
  </si>
  <si>
    <t>01.17.051</t>
  </si>
  <si>
    <t>projeto executivo de estrutura em formato A1  (detalhamneto alas e vigas)</t>
  </si>
  <si>
    <t>1.6</t>
  </si>
  <si>
    <t>5.20</t>
  </si>
  <si>
    <t>5.21</t>
  </si>
  <si>
    <t>5.22</t>
  </si>
  <si>
    <t>TOTAL GLOBAL C/BDI DE 25,00% nos itens CDHU E ORÇAMENTO</t>
  </si>
  <si>
    <t>C/ BDI</t>
  </si>
  <si>
    <t>07.05.010</t>
  </si>
  <si>
    <t xml:space="preserve">TUBO CELULAR (ADUELAS) - 2,00 x 2,00m </t>
  </si>
  <si>
    <t>10.01.040</t>
  </si>
  <si>
    <t>Armadura em barra de aço CA-60 (A ou B) fyk = 600 Mpa (fundo e paredes)</t>
  </si>
  <si>
    <t>Concreto usinado fck=25 Mpa, (viga testa montante e jusante)</t>
  </si>
  <si>
    <t>Lançamento e adensamento de concreto ou massa em estrutura (viga testa montante e jusante)</t>
  </si>
  <si>
    <t>Armadura em barra de aço CA-50 (A ou B) fyk = 500 Mpa (viga testa montante e jusante 12,50mm)</t>
  </si>
  <si>
    <t>Armadura em barra de aço CA-60 (A ou B) fyk = 600 Mpa (viga testa montante e jusante 6mm)</t>
  </si>
  <si>
    <t>Concreto usinado fck=25 Mpa, (viga berço montante e jusante)</t>
  </si>
  <si>
    <t>Lançamento e adensamento de concreto ou massa em estrutura (viga berço montante e jusante)</t>
  </si>
  <si>
    <t>Armadura em barra de aço CA-50 (A ou B) fyk = 500 Mpa (viga berço montante e jusante 12,50mm)</t>
  </si>
  <si>
    <t>ORÇAMENTO</t>
  </si>
  <si>
    <t>um</t>
  </si>
  <si>
    <t>5.23</t>
  </si>
  <si>
    <t>1 parcela</t>
  </si>
  <si>
    <t>estado</t>
  </si>
  <si>
    <t>municipio</t>
  </si>
  <si>
    <t>DATA :07/06/2022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</si>
</sst>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00\ ;&quot; (&quot;#,##0.0000\);&quot; -&quot;#.00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[$-416]dddd\,\ d&quot; de &quot;mmmm&quot; de &quot;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36"/>
      <color indexed="8"/>
      <name val="Arial"/>
      <family val="2"/>
    </font>
    <font>
      <b/>
      <sz val="14"/>
      <color indexed="8"/>
      <name val="Lucida Sans Unicod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</font>
    <font>
      <sz val="11"/>
      <color rgb="FF333333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2"/>
      <color theme="1"/>
      <name val="Calibri"/>
      <family val="2"/>
    </font>
    <font>
      <sz val="2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2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/>
    </xf>
    <xf numFmtId="44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54" applyFont="1" applyAlignment="1">
      <alignment horizontal="right"/>
    </xf>
    <xf numFmtId="44" fontId="60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17" fontId="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4" fontId="3" fillId="0" borderId="10" xfId="47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62" fillId="33" borderId="0" xfId="0" applyFont="1" applyFill="1" applyAlignment="1">
      <alignment/>
    </xf>
    <xf numFmtId="0" fontId="53" fillId="0" borderId="0" xfId="0" applyFont="1" applyAlignment="1">
      <alignment/>
    </xf>
    <xf numFmtId="0" fontId="59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15" xfId="54" applyFont="1" applyBorder="1" applyAlignment="1">
      <alignment horizontal="right"/>
    </xf>
    <xf numFmtId="44" fontId="0" fillId="0" borderId="15" xfId="47" applyFont="1" applyBorder="1" applyAlignment="1">
      <alignment/>
    </xf>
    <xf numFmtId="0" fontId="0" fillId="0" borderId="16" xfId="0" applyBorder="1" applyAlignment="1">
      <alignment horizontal="right"/>
    </xf>
    <xf numFmtId="0" fontId="4" fillId="34" borderId="17" xfId="50" applyFont="1" applyFill="1" applyBorder="1" applyAlignment="1">
      <alignment/>
      <protection/>
    </xf>
    <xf numFmtId="0" fontId="5" fillId="34" borderId="0" xfId="50" applyFont="1" applyFill="1" applyBorder="1" applyAlignment="1">
      <alignment horizontal="center"/>
      <protection/>
    </xf>
    <xf numFmtId="0" fontId="4" fillId="34" borderId="18" xfId="50" applyFont="1" applyFill="1" applyBorder="1">
      <alignment/>
      <protection/>
    </xf>
    <xf numFmtId="43" fontId="64" fillId="0" borderId="10" xfId="54" applyFont="1" applyBorder="1" applyAlignment="1">
      <alignment horizontal="right"/>
    </xf>
    <xf numFmtId="44" fontId="64" fillId="0" borderId="10" xfId="47" applyFont="1" applyBorder="1" applyAlignment="1">
      <alignment/>
    </xf>
    <xf numFmtId="0" fontId="4" fillId="34" borderId="10" xfId="50" applyFont="1" applyFill="1" applyBorder="1">
      <alignment/>
      <protection/>
    </xf>
    <xf numFmtId="0" fontId="5" fillId="34" borderId="0" xfId="50" applyFont="1" applyFill="1" applyBorder="1">
      <alignment/>
      <protection/>
    </xf>
    <xf numFmtId="0" fontId="6" fillId="0" borderId="10" xfId="50" applyFont="1" applyBorder="1" applyAlignment="1">
      <alignment/>
      <protection/>
    </xf>
    <xf numFmtId="43" fontId="6" fillId="0" borderId="10" xfId="54" applyFont="1" applyBorder="1" applyAlignment="1">
      <alignment horizontal="right"/>
    </xf>
    <xf numFmtId="44" fontId="6" fillId="0" borderId="10" xfId="47" applyFont="1" applyBorder="1" applyAlignment="1">
      <alignment/>
    </xf>
    <xf numFmtId="0" fontId="7" fillId="0" borderId="10" xfId="50" applyFont="1" applyBorder="1" applyAlignment="1">
      <alignment horizontal="right"/>
      <protection/>
    </xf>
    <xf numFmtId="0" fontId="4" fillId="33" borderId="10" xfId="50" applyFont="1" applyFill="1" applyBorder="1" applyAlignment="1">
      <alignment vertical="top" wrapText="1"/>
      <protection/>
    </xf>
    <xf numFmtId="0" fontId="4" fillId="33" borderId="10" xfId="50" applyFont="1" applyFill="1" applyBorder="1" applyAlignment="1">
      <alignment horizontal="center" vertical="top" wrapText="1"/>
      <protection/>
    </xf>
    <xf numFmtId="43" fontId="4" fillId="33" borderId="10" xfId="54" applyFont="1" applyFill="1" applyBorder="1" applyAlignment="1">
      <alignment horizontal="right" wrapText="1"/>
    </xf>
    <xf numFmtId="44" fontId="4" fillId="33" borderId="10" xfId="47" applyFont="1" applyFill="1" applyBorder="1" applyAlignment="1">
      <alignment wrapText="1"/>
    </xf>
    <xf numFmtId="0" fontId="4" fillId="33" borderId="10" xfId="50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4" fontId="5" fillId="0" borderId="10" xfId="47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justify" vertical="top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justify" wrapText="1"/>
    </xf>
    <xf numFmtId="0" fontId="6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54" applyFont="1" applyBorder="1" applyAlignment="1">
      <alignment horizontal="right"/>
    </xf>
    <xf numFmtId="44" fontId="5" fillId="0" borderId="10" xfId="47" applyFont="1" applyBorder="1" applyAlignment="1">
      <alignment/>
    </xf>
    <xf numFmtId="44" fontId="5" fillId="33" borderId="10" xfId="47" applyFont="1" applyFill="1" applyBorder="1" applyAlignment="1">
      <alignment horizontal="right" vertical="center" wrapText="1"/>
    </xf>
    <xf numFmtId="44" fontId="64" fillId="0" borderId="10" xfId="47" applyFont="1" applyBorder="1" applyAlignment="1">
      <alignment horizontal="right" vertical="center"/>
    </xf>
    <xf numFmtId="165" fontId="5" fillId="33" borderId="10" xfId="54" applyNumberFormat="1" applyFont="1" applyFill="1" applyBorder="1" applyAlignment="1" applyProtection="1">
      <alignment horizontal="right" vertical="center" wrapText="1"/>
      <protection/>
    </xf>
    <xf numFmtId="44" fontId="5" fillId="33" borderId="10" xfId="47" applyFont="1" applyFill="1" applyBorder="1" applyAlignment="1" applyProtection="1">
      <alignment horizontal="right" vertical="center" wrapText="1"/>
      <protection/>
    </xf>
    <xf numFmtId="44" fontId="4" fillId="33" borderId="10" xfId="47" applyFont="1" applyFill="1" applyBorder="1" applyAlignment="1" applyProtection="1">
      <alignment horizontal="right" vertical="center"/>
      <protection/>
    </xf>
    <xf numFmtId="44" fontId="66" fillId="0" borderId="0" xfId="0" applyNumberFormat="1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44" fontId="68" fillId="33" borderId="10" xfId="47" applyFont="1" applyFill="1" applyBorder="1" applyAlignment="1">
      <alignment horizontal="right" vertical="center" wrapText="1"/>
    </xf>
    <xf numFmtId="44" fontId="69" fillId="0" borderId="10" xfId="47" applyFont="1" applyFill="1" applyBorder="1" applyAlignment="1">
      <alignment horizontal="right" vertical="center" wrapText="1"/>
    </xf>
    <xf numFmtId="44" fontId="69" fillId="33" borderId="10" xfId="47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3" fontId="5" fillId="33" borderId="10" xfId="54" applyFont="1" applyFill="1" applyBorder="1" applyAlignment="1">
      <alignment horizontal="center" wrapText="1"/>
    </xf>
    <xf numFmtId="44" fontId="5" fillId="33" borderId="10" xfId="47" applyFont="1" applyFill="1" applyBorder="1" applyAlignment="1">
      <alignment horizontal="center" wrapText="1"/>
    </xf>
    <xf numFmtId="44" fontId="5" fillId="33" borderId="10" xfId="47" applyFont="1" applyFill="1" applyBorder="1" applyAlignment="1">
      <alignment horizontal="right" wrapText="1"/>
    </xf>
    <xf numFmtId="44" fontId="5" fillId="33" borderId="10" xfId="47" applyFont="1" applyFill="1" applyBorder="1" applyAlignment="1" applyProtection="1">
      <alignment vertical="center"/>
      <protection/>
    </xf>
    <xf numFmtId="44" fontId="62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44" fontId="62" fillId="0" borderId="0" xfId="0" applyNumberFormat="1" applyFont="1" applyAlignment="1">
      <alignment vertical="center"/>
    </xf>
    <xf numFmtId="0" fontId="8" fillId="34" borderId="10" xfId="0" applyFont="1" applyFill="1" applyBorder="1" applyAlignment="1">
      <alignment horizontal="left" vertical="top" wrapText="1"/>
    </xf>
    <xf numFmtId="44" fontId="0" fillId="0" borderId="0" xfId="47" applyFont="1" applyAlignment="1">
      <alignment/>
    </xf>
    <xf numFmtId="44" fontId="0" fillId="0" borderId="0" xfId="47" applyFont="1" applyAlignment="1">
      <alignment horizontal="right"/>
    </xf>
    <xf numFmtId="43" fontId="64" fillId="0" borderId="0" xfId="54" applyFont="1" applyAlignment="1">
      <alignment horizontal="right"/>
    </xf>
    <xf numFmtId="44" fontId="64" fillId="0" borderId="0" xfId="47" applyFont="1" applyAlignment="1">
      <alignment/>
    </xf>
    <xf numFmtId="0" fontId="63" fillId="0" borderId="10" xfId="0" applyFont="1" applyBorder="1" applyAlignment="1">
      <alignment/>
    </xf>
    <xf numFmtId="44" fontId="4" fillId="33" borderId="10" xfId="47" applyFont="1" applyFill="1" applyBorder="1" applyAlignment="1">
      <alignment horizontal="right" vertical="center" wrapText="1"/>
    </xf>
    <xf numFmtId="44" fontId="4" fillId="35" borderId="10" xfId="47" applyFont="1" applyFill="1" applyBorder="1" applyAlignment="1" applyProtection="1">
      <alignment horizontal="right" vertical="center"/>
      <protection/>
    </xf>
    <xf numFmtId="44" fontId="4" fillId="0" borderId="10" xfId="47" applyFont="1" applyBorder="1" applyAlignment="1">
      <alignment horizontal="right" vertical="center"/>
    </xf>
    <xf numFmtId="0" fontId="63" fillId="0" borderId="10" xfId="0" applyFont="1" applyBorder="1" applyAlignment="1">
      <alignment/>
    </xf>
    <xf numFmtId="43" fontId="63" fillId="0" borderId="10" xfId="54" applyFont="1" applyBorder="1" applyAlignment="1">
      <alignment horizontal="right"/>
    </xf>
    <xf numFmtId="44" fontId="63" fillId="0" borderId="10" xfId="47" applyFont="1" applyBorder="1" applyAlignment="1">
      <alignment horizontal="right"/>
    </xf>
    <xf numFmtId="0" fontId="4" fillId="34" borderId="10" xfId="50" applyFont="1" applyFill="1" applyBorder="1" applyAlignment="1">
      <alignment wrapText="1"/>
      <protection/>
    </xf>
    <xf numFmtId="0" fontId="5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4" fillId="0" borderId="20" xfId="0" applyFont="1" applyBorder="1" applyAlignment="1">
      <alignment horizontal="right"/>
    </xf>
    <xf numFmtId="44" fontId="0" fillId="0" borderId="16" xfId="0" applyNumberFormat="1" applyBorder="1" applyAlignment="1">
      <alignment horizontal="right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wrapText="1"/>
    </xf>
    <xf numFmtId="0" fontId="5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63" fillId="36" borderId="1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70" fillId="36" borderId="22" xfId="0" applyFont="1" applyFill="1" applyBorder="1" applyAlignment="1">
      <alignment horizontal="center"/>
    </xf>
    <xf numFmtId="0" fontId="70" fillId="36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5" fillId="0" borderId="19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horizontal="center"/>
    </xf>
    <xf numFmtId="44" fontId="0" fillId="0" borderId="0" xfId="0" applyNumberFormat="1" applyAlignment="1">
      <alignment horizontal="right"/>
    </xf>
    <xf numFmtId="0" fontId="59" fillId="37" borderId="10" xfId="0" applyFont="1" applyFill="1" applyBorder="1" applyAlignment="1">
      <alignment horizontal="center"/>
    </xf>
    <xf numFmtId="44" fontId="0" fillId="0" borderId="0" xfId="47" applyFont="1" applyAlignment="1">
      <alignment/>
    </xf>
    <xf numFmtId="0" fontId="59" fillId="38" borderId="0" xfId="0" applyFont="1" applyFill="1" applyAlignment="1">
      <alignment/>
    </xf>
    <xf numFmtId="44" fontId="59" fillId="38" borderId="0" xfId="0" applyNumberFormat="1" applyFont="1" applyFill="1" applyAlignment="1">
      <alignment/>
    </xf>
    <xf numFmtId="44" fontId="59" fillId="38" borderId="0" xfId="47" applyFont="1" applyFill="1" applyAlignment="1">
      <alignment/>
    </xf>
    <xf numFmtId="2" fontId="0" fillId="0" borderId="0" xfId="47" applyNumberFormat="1" applyFont="1" applyAlignment="1">
      <alignment/>
    </xf>
    <xf numFmtId="0" fontId="64" fillId="0" borderId="23" xfId="0" applyFont="1" applyBorder="1" applyAlignment="1">
      <alignment/>
    </xf>
    <xf numFmtId="0" fontId="64" fillId="0" borderId="19" xfId="0" applyFont="1" applyBorder="1" applyAlignment="1">
      <alignment/>
    </xf>
    <xf numFmtId="0" fontId="63" fillId="0" borderId="24" xfId="0" applyFont="1" applyBorder="1" applyAlignment="1">
      <alignment/>
    </xf>
    <xf numFmtId="0" fontId="0" fillId="0" borderId="18" xfId="0" applyBorder="1" applyAlignment="1">
      <alignment/>
    </xf>
    <xf numFmtId="0" fontId="64" fillId="0" borderId="24" xfId="0" applyFont="1" applyBorder="1" applyAlignment="1">
      <alignment/>
    </xf>
    <xf numFmtId="43" fontId="12" fillId="0" borderId="19" xfId="54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3" fillId="36" borderId="23" xfId="0" applyFont="1" applyFill="1" applyBorder="1" applyAlignment="1">
      <alignment horizontal="center"/>
    </xf>
    <xf numFmtId="0" fontId="63" fillId="36" borderId="21" xfId="0" applyFont="1" applyFill="1" applyBorder="1" applyAlignment="1">
      <alignment horizontal="center"/>
    </xf>
    <xf numFmtId="0" fontId="63" fillId="36" borderId="19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dxfs count="2"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2</xdr:col>
      <xdr:colOff>781050</xdr:colOff>
      <xdr:row>4</xdr:row>
      <xdr:rowOff>381000</xdr:rowOff>
    </xdr:to>
    <xdr:pic>
      <xdr:nvPicPr>
        <xdr:cNvPr id="1" name="Picture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178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PageLayoutView="0" workbookViewId="0" topLeftCell="A25">
      <selection activeCell="I43" sqref="I43"/>
    </sheetView>
  </sheetViews>
  <sheetFormatPr defaultColWidth="9.140625" defaultRowHeight="15"/>
  <cols>
    <col min="2" max="2" width="15.140625" style="7" customWidth="1"/>
    <col min="3" max="3" width="12.28125" style="3" customWidth="1"/>
    <col min="4" max="4" width="85.421875" style="0" customWidth="1"/>
    <col min="5" max="5" width="9.140625" style="3" customWidth="1"/>
    <col min="6" max="6" width="12.421875" style="5" customWidth="1"/>
    <col min="7" max="7" width="13.57421875" style="2" bestFit="1" customWidth="1"/>
    <col min="8" max="8" width="13.57421875" style="93" customWidth="1"/>
    <col min="9" max="9" width="23.8515625" style="4" customWidth="1"/>
    <col min="10" max="10" width="19.421875" style="0" customWidth="1"/>
    <col min="11" max="11" width="10.421875" style="0" customWidth="1"/>
    <col min="12" max="12" width="10.140625" style="0" bestFit="1" customWidth="1"/>
    <col min="13" max="13" width="21.00390625" style="0" customWidth="1"/>
    <col min="14" max="14" width="16.28125" style="0" customWidth="1"/>
    <col min="15" max="15" width="15.8515625" style="0" bestFit="1" customWidth="1"/>
  </cols>
  <sheetData>
    <row r="1" spans="2:9" ht="14.25">
      <c r="B1" s="17"/>
      <c r="C1" s="18"/>
      <c r="D1" s="164" t="s">
        <v>141</v>
      </c>
      <c r="E1" s="164"/>
      <c r="F1" s="164"/>
      <c r="G1" s="164"/>
      <c r="H1" s="164"/>
      <c r="I1" s="165"/>
    </row>
    <row r="2" spans="2:9" ht="14.25">
      <c r="B2" s="19"/>
      <c r="C2" s="20"/>
      <c r="D2" s="166"/>
      <c r="E2" s="166"/>
      <c r="F2" s="166"/>
      <c r="G2" s="166"/>
      <c r="H2" s="166"/>
      <c r="I2" s="167"/>
    </row>
    <row r="3" spans="2:9" ht="14.25">
      <c r="B3" s="19"/>
      <c r="C3" s="20"/>
      <c r="D3" s="166"/>
      <c r="E3" s="166"/>
      <c r="F3" s="166"/>
      <c r="G3" s="166"/>
      <c r="H3" s="166"/>
      <c r="I3" s="167"/>
    </row>
    <row r="4" spans="2:13" ht="33" customHeight="1">
      <c r="B4" s="19"/>
      <c r="C4" s="20"/>
      <c r="D4" s="166"/>
      <c r="E4" s="166"/>
      <c r="F4" s="166"/>
      <c r="G4" s="166"/>
      <c r="H4" s="166"/>
      <c r="I4" s="167"/>
      <c r="M4">
        <v>1.25</v>
      </c>
    </row>
    <row r="5" spans="2:10" ht="33" customHeight="1">
      <c r="B5" s="21"/>
      <c r="C5" s="22"/>
      <c r="D5" s="23" t="s">
        <v>142</v>
      </c>
      <c r="E5" s="24"/>
      <c r="F5" s="25"/>
      <c r="G5" s="26"/>
      <c r="H5" s="26"/>
      <c r="I5" s="27" t="s">
        <v>242</v>
      </c>
      <c r="J5" s="1"/>
    </row>
    <row r="6" spans="2:9" ht="14.25">
      <c r="B6" s="28" t="s">
        <v>0</v>
      </c>
      <c r="C6" s="29"/>
      <c r="D6" s="30" t="s">
        <v>111</v>
      </c>
      <c r="E6" s="31"/>
      <c r="F6" s="32"/>
      <c r="G6" s="31"/>
      <c r="H6" s="31"/>
      <c r="I6" s="32"/>
    </row>
    <row r="7" spans="2:10" ht="27.75">
      <c r="B7" s="28" t="s">
        <v>1</v>
      </c>
      <c r="C7" s="29"/>
      <c r="D7" s="104" t="s">
        <v>49</v>
      </c>
      <c r="E7" s="31"/>
      <c r="F7" s="32"/>
      <c r="G7" s="31"/>
      <c r="H7" s="31"/>
      <c r="I7" s="32"/>
      <c r="J7" s="78"/>
    </row>
    <row r="8" spans="2:9" ht="14.25">
      <c r="B8" s="28" t="s">
        <v>13</v>
      </c>
      <c r="C8" s="34"/>
      <c r="D8" s="33" t="s">
        <v>162</v>
      </c>
      <c r="E8" s="35"/>
      <c r="F8" s="36"/>
      <c r="G8" s="37"/>
      <c r="H8" s="37"/>
      <c r="I8" s="38" t="s">
        <v>143</v>
      </c>
    </row>
    <row r="9" spans="1:10" ht="15" customHeight="1">
      <c r="A9" s="39" t="s">
        <v>2</v>
      </c>
      <c r="B9" s="39" t="s">
        <v>166</v>
      </c>
      <c r="C9" s="40" t="s">
        <v>167</v>
      </c>
      <c r="D9" s="40" t="s">
        <v>3</v>
      </c>
      <c r="E9" s="40" t="s">
        <v>4</v>
      </c>
      <c r="F9" s="41" t="s">
        <v>5</v>
      </c>
      <c r="G9" s="42" t="s">
        <v>7</v>
      </c>
      <c r="H9" s="42" t="s">
        <v>224</v>
      </c>
      <c r="I9" s="43" t="s">
        <v>6</v>
      </c>
      <c r="J9" s="6"/>
    </row>
    <row r="10" spans="1:13" s="11" customFormat="1" ht="15">
      <c r="A10" s="124" t="s">
        <v>103</v>
      </c>
      <c r="B10" s="152" t="s">
        <v>8</v>
      </c>
      <c r="C10" s="153"/>
      <c r="D10" s="153"/>
      <c r="E10" s="153"/>
      <c r="F10" s="153"/>
      <c r="G10" s="154"/>
      <c r="H10" s="120"/>
      <c r="I10" s="98">
        <f>SUM(I11:I16)</f>
        <v>22431.2189</v>
      </c>
      <c r="M10" s="88">
        <f>I10*1.23</f>
        <v>27590.399247</v>
      </c>
    </row>
    <row r="11" spans="1:13" s="8" customFormat="1" ht="15">
      <c r="A11" s="117" t="s">
        <v>168</v>
      </c>
      <c r="B11" s="137" t="s">
        <v>24</v>
      </c>
      <c r="C11" s="79" t="s">
        <v>130</v>
      </c>
      <c r="D11" s="70" t="s">
        <v>23</v>
      </c>
      <c r="E11" s="44" t="s">
        <v>12</v>
      </c>
      <c r="F11" s="84">
        <v>6</v>
      </c>
      <c r="G11" s="86">
        <v>633.57</v>
      </c>
      <c r="H11" s="86">
        <f>G11*$M$4</f>
        <v>791.9625000000001</v>
      </c>
      <c r="I11" s="73">
        <f>F11*H11</f>
        <v>4751.775000000001</v>
      </c>
      <c r="M11" s="88">
        <f aca="true" t="shared" si="0" ref="M11:M77">I11*1.23</f>
        <v>5844.683250000001</v>
      </c>
    </row>
    <row r="12" spans="1:13" s="8" customFormat="1" ht="15">
      <c r="A12" s="117" t="s">
        <v>170</v>
      </c>
      <c r="B12" s="137" t="s">
        <v>25</v>
      </c>
      <c r="C12" s="79" t="s">
        <v>130</v>
      </c>
      <c r="D12" s="70" t="s">
        <v>157</v>
      </c>
      <c r="E12" s="44" t="s">
        <v>12</v>
      </c>
      <c r="F12" s="84">
        <v>20</v>
      </c>
      <c r="G12" s="85">
        <v>5.87</v>
      </c>
      <c r="H12" s="86">
        <f>G12*$M$4</f>
        <v>7.3375</v>
      </c>
      <c r="I12" s="73">
        <f aca="true" t="shared" si="1" ref="I12:I32">F12*H12</f>
        <v>146.75</v>
      </c>
      <c r="M12" s="88">
        <f t="shared" si="0"/>
        <v>180.5025</v>
      </c>
    </row>
    <row r="13" spans="1:13" s="8" customFormat="1" ht="15" customHeight="1">
      <c r="A13" s="117" t="s">
        <v>171</v>
      </c>
      <c r="B13" s="137" t="s">
        <v>129</v>
      </c>
      <c r="C13" s="79" t="s">
        <v>130</v>
      </c>
      <c r="D13" s="70" t="s">
        <v>22</v>
      </c>
      <c r="E13" s="44" t="s">
        <v>12</v>
      </c>
      <c r="F13" s="84">
        <v>10</v>
      </c>
      <c r="G13" s="86">
        <v>463.95</v>
      </c>
      <c r="H13" s="86">
        <f>G13*$M$4</f>
        <v>579.9375</v>
      </c>
      <c r="I13" s="73">
        <f t="shared" si="1"/>
        <v>5799.375</v>
      </c>
      <c r="M13" s="88">
        <f t="shared" si="0"/>
        <v>7133.23125</v>
      </c>
    </row>
    <row r="14" spans="1:13" s="8" customFormat="1" ht="15" customHeight="1">
      <c r="A14" s="117" t="s">
        <v>172</v>
      </c>
      <c r="B14" s="137" t="s">
        <v>153</v>
      </c>
      <c r="C14" s="79" t="s">
        <v>130</v>
      </c>
      <c r="D14" s="70" t="s">
        <v>154</v>
      </c>
      <c r="E14" s="44" t="s">
        <v>155</v>
      </c>
      <c r="F14" s="84">
        <v>6</v>
      </c>
      <c r="G14" s="86">
        <v>592.03</v>
      </c>
      <c r="H14" s="86">
        <f>G14*$M$4</f>
        <v>740.0374999999999</v>
      </c>
      <c r="I14" s="73">
        <f t="shared" si="1"/>
        <v>4440.224999999999</v>
      </c>
      <c r="M14" s="88"/>
    </row>
    <row r="15" spans="1:13" s="8" customFormat="1" ht="15" customHeight="1">
      <c r="A15" s="117" t="s">
        <v>173</v>
      </c>
      <c r="B15" s="137" t="s">
        <v>32</v>
      </c>
      <c r="C15" s="79" t="s">
        <v>130</v>
      </c>
      <c r="D15" s="70" t="s">
        <v>33</v>
      </c>
      <c r="E15" s="44" t="s">
        <v>12</v>
      </c>
      <c r="F15" s="84">
        <v>2703.78</v>
      </c>
      <c r="G15" s="85">
        <v>1.5</v>
      </c>
      <c r="H15" s="86">
        <v>1.88</v>
      </c>
      <c r="I15" s="73">
        <f>F15*H15</f>
        <v>5083.1064</v>
      </c>
      <c r="M15" s="88">
        <f t="shared" si="0"/>
        <v>6252.220872</v>
      </c>
    </row>
    <row r="16" spans="1:13" s="8" customFormat="1" ht="15" customHeight="1">
      <c r="A16" s="117" t="s">
        <v>219</v>
      </c>
      <c r="B16" s="137" t="s">
        <v>217</v>
      </c>
      <c r="C16" s="79" t="s">
        <v>130</v>
      </c>
      <c r="D16" s="70" t="s">
        <v>218</v>
      </c>
      <c r="E16" s="44" t="s">
        <v>237</v>
      </c>
      <c r="F16" s="84">
        <v>1</v>
      </c>
      <c r="G16" s="85">
        <v>1767.99</v>
      </c>
      <c r="H16" s="86">
        <f>G16*$M$4</f>
        <v>2209.9875</v>
      </c>
      <c r="I16" s="73">
        <f t="shared" si="1"/>
        <v>2209.9875</v>
      </c>
      <c r="M16" s="88"/>
    </row>
    <row r="17" spans="1:13" s="15" customFormat="1" ht="15">
      <c r="A17" s="125" t="s">
        <v>50</v>
      </c>
      <c r="B17" s="155" t="s">
        <v>156</v>
      </c>
      <c r="C17" s="156"/>
      <c r="D17" s="156"/>
      <c r="E17" s="156"/>
      <c r="F17" s="156"/>
      <c r="G17" s="157"/>
      <c r="H17" s="119"/>
      <c r="I17" s="98">
        <f>SUM(I18:I32)</f>
        <v>1831959.7249</v>
      </c>
      <c r="M17" s="88">
        <f t="shared" si="0"/>
        <v>2253310.461627</v>
      </c>
    </row>
    <row r="18" spans="1:13" ht="15">
      <c r="A18" s="117" t="s">
        <v>174</v>
      </c>
      <c r="B18" s="46" t="s">
        <v>31</v>
      </c>
      <c r="C18" s="79" t="s">
        <v>130</v>
      </c>
      <c r="D18" s="47" t="s">
        <v>30</v>
      </c>
      <c r="E18" s="44" t="s">
        <v>12</v>
      </c>
      <c r="F18" s="48">
        <v>400</v>
      </c>
      <c r="G18" s="49">
        <v>3.65</v>
      </c>
      <c r="H18" s="86">
        <v>4.56</v>
      </c>
      <c r="I18" s="73">
        <f t="shared" si="1"/>
        <v>1823.9999999999998</v>
      </c>
      <c r="M18" s="88">
        <f t="shared" si="0"/>
        <v>2243.5199999999995</v>
      </c>
    </row>
    <row r="19" spans="1:13" ht="15">
      <c r="A19" s="117" t="s">
        <v>176</v>
      </c>
      <c r="B19" s="44" t="s">
        <v>225</v>
      </c>
      <c r="C19" s="79" t="s">
        <v>130</v>
      </c>
      <c r="D19" s="47" t="s">
        <v>34</v>
      </c>
      <c r="E19" s="44" t="s">
        <v>11</v>
      </c>
      <c r="F19" s="48">
        <v>1508.56</v>
      </c>
      <c r="G19" s="49">
        <v>37.38</v>
      </c>
      <c r="H19" s="86">
        <v>46.73</v>
      </c>
      <c r="I19" s="73">
        <f t="shared" si="1"/>
        <v>70495.0088</v>
      </c>
      <c r="M19" s="88">
        <f t="shared" si="0"/>
        <v>86708.86082399999</v>
      </c>
    </row>
    <row r="20" spans="1:13" ht="15">
      <c r="A20" s="117" t="s">
        <v>177</v>
      </c>
      <c r="B20" s="46" t="s">
        <v>35</v>
      </c>
      <c r="C20" s="79" t="s">
        <v>130</v>
      </c>
      <c r="D20" s="50" t="s">
        <v>36</v>
      </c>
      <c r="E20" s="44" t="s">
        <v>11</v>
      </c>
      <c r="F20" s="48">
        <v>1961.15</v>
      </c>
      <c r="G20" s="49">
        <v>12.43</v>
      </c>
      <c r="H20" s="86">
        <v>15.54</v>
      </c>
      <c r="I20" s="73">
        <f t="shared" si="1"/>
        <v>30476.271</v>
      </c>
      <c r="M20" s="88">
        <f t="shared" si="0"/>
        <v>37485.81333</v>
      </c>
    </row>
    <row r="21" spans="1:13" ht="15">
      <c r="A21" s="117" t="s">
        <v>178</v>
      </c>
      <c r="B21" s="46" t="s">
        <v>26</v>
      </c>
      <c r="C21" s="79" t="s">
        <v>130</v>
      </c>
      <c r="D21" s="50" t="s">
        <v>27</v>
      </c>
      <c r="E21" s="44" t="s">
        <v>11</v>
      </c>
      <c r="F21" s="48">
        <f>F20</f>
        <v>1961.15</v>
      </c>
      <c r="G21" s="49">
        <v>5.9</v>
      </c>
      <c r="H21" s="86">
        <v>7.38</v>
      </c>
      <c r="I21" s="73">
        <f t="shared" si="1"/>
        <v>14473.287</v>
      </c>
      <c r="M21" s="88">
        <f t="shared" si="0"/>
        <v>17802.14301</v>
      </c>
    </row>
    <row r="22" spans="1:13" ht="15">
      <c r="A22" s="117" t="s">
        <v>179</v>
      </c>
      <c r="B22" s="46" t="s">
        <v>48</v>
      </c>
      <c r="C22" s="79" t="s">
        <v>130</v>
      </c>
      <c r="D22" s="50" t="s">
        <v>165</v>
      </c>
      <c r="E22" s="44" t="s">
        <v>11</v>
      </c>
      <c r="F22" s="48">
        <v>307.66</v>
      </c>
      <c r="G22" s="49">
        <v>159.5</v>
      </c>
      <c r="H22" s="86">
        <v>199.38</v>
      </c>
      <c r="I22" s="73">
        <f t="shared" si="1"/>
        <v>61341.2508</v>
      </c>
      <c r="M22" s="88">
        <f t="shared" si="0"/>
        <v>75449.738484</v>
      </c>
    </row>
    <row r="23" spans="1:13" ht="15">
      <c r="A23" s="117" t="s">
        <v>180</v>
      </c>
      <c r="B23" s="46" t="s">
        <v>132</v>
      </c>
      <c r="C23" s="79" t="s">
        <v>40</v>
      </c>
      <c r="D23" s="51" t="s">
        <v>38</v>
      </c>
      <c r="E23" s="44" t="s">
        <v>11</v>
      </c>
      <c r="F23" s="48">
        <v>298.18</v>
      </c>
      <c r="G23" s="49">
        <v>829.6</v>
      </c>
      <c r="H23" s="49">
        <v>829.6</v>
      </c>
      <c r="I23" s="73">
        <f t="shared" si="1"/>
        <v>247370.12800000003</v>
      </c>
      <c r="J23" s="81">
        <v>769.03</v>
      </c>
      <c r="K23" s="12">
        <f>J23/1.4179</f>
        <v>542.3725227449045</v>
      </c>
      <c r="L23" s="14">
        <f>K23*1.25</f>
        <v>677.9656534311306</v>
      </c>
      <c r="M23" s="88">
        <f t="shared" si="0"/>
        <v>304265.25744</v>
      </c>
    </row>
    <row r="24" spans="1:13" ht="15">
      <c r="A24" s="117" t="s">
        <v>181</v>
      </c>
      <c r="B24" s="44" t="s">
        <v>133</v>
      </c>
      <c r="C24" s="79" t="s">
        <v>40</v>
      </c>
      <c r="D24" s="51" t="s">
        <v>39</v>
      </c>
      <c r="E24" s="44" t="s">
        <v>11</v>
      </c>
      <c r="F24" s="52">
        <v>447.27</v>
      </c>
      <c r="G24" s="49">
        <v>842.87</v>
      </c>
      <c r="H24" s="49">
        <v>842.87</v>
      </c>
      <c r="I24" s="73">
        <f t="shared" si="1"/>
        <v>376990.46489999996</v>
      </c>
      <c r="J24" s="81">
        <v>711.41</v>
      </c>
      <c r="K24" s="12">
        <f>J24/1.4179</f>
        <v>501.734960152338</v>
      </c>
      <c r="L24" s="14">
        <f>K24*1.25</f>
        <v>627.1687001904224</v>
      </c>
      <c r="M24" s="88">
        <f t="shared" si="0"/>
        <v>463698.27182699996</v>
      </c>
    </row>
    <row r="25" spans="1:13" ht="15">
      <c r="A25" s="117" t="s">
        <v>182</v>
      </c>
      <c r="B25" s="44" t="s">
        <v>134</v>
      </c>
      <c r="C25" s="79" t="s">
        <v>40</v>
      </c>
      <c r="D25" s="51" t="s">
        <v>163</v>
      </c>
      <c r="E25" s="44" t="s">
        <v>12</v>
      </c>
      <c r="F25" s="53">
        <v>541.3</v>
      </c>
      <c r="G25" s="49">
        <v>435.35</v>
      </c>
      <c r="H25" s="49">
        <v>435.35</v>
      </c>
      <c r="I25" s="73">
        <f t="shared" si="1"/>
        <v>235654.955</v>
      </c>
      <c r="J25" s="81">
        <v>276.34</v>
      </c>
      <c r="K25" s="12">
        <f>J25/1.4179</f>
        <v>194.89385711263134</v>
      </c>
      <c r="L25" s="14">
        <f>K25*1.25</f>
        <v>243.6173213907892</v>
      </c>
      <c r="M25" s="88">
        <f t="shared" si="0"/>
        <v>289855.59465</v>
      </c>
    </row>
    <row r="26" spans="1:13" ht="15">
      <c r="A26" s="117" t="s">
        <v>183</v>
      </c>
      <c r="B26" s="44" t="s">
        <v>135</v>
      </c>
      <c r="C26" s="79" t="s">
        <v>40</v>
      </c>
      <c r="D26" s="51" t="s">
        <v>164</v>
      </c>
      <c r="E26" s="44" t="s">
        <v>12</v>
      </c>
      <c r="F26" s="53">
        <v>1358.13</v>
      </c>
      <c r="G26" s="49">
        <v>451.2</v>
      </c>
      <c r="H26" s="49">
        <v>451.2</v>
      </c>
      <c r="I26" s="73">
        <f t="shared" si="1"/>
        <v>612788.256</v>
      </c>
      <c r="J26" s="81">
        <v>304.79</v>
      </c>
      <c r="K26" s="12">
        <f>J26/1.4179</f>
        <v>214.9587418012554</v>
      </c>
      <c r="L26" s="14">
        <f>K26*1.25</f>
        <v>268.6984272515692</v>
      </c>
      <c r="M26" s="88">
        <f t="shared" si="0"/>
        <v>753729.5548800001</v>
      </c>
    </row>
    <row r="27" spans="1:13" ht="15">
      <c r="A27" s="117" t="s">
        <v>184</v>
      </c>
      <c r="B27" s="44" t="s">
        <v>44</v>
      </c>
      <c r="C27" s="79" t="s">
        <v>130</v>
      </c>
      <c r="D27" s="51" t="s">
        <v>41</v>
      </c>
      <c r="E27" s="44" t="s">
        <v>11</v>
      </c>
      <c r="F27" s="53">
        <v>1358.13</v>
      </c>
      <c r="G27" s="49">
        <v>14.13</v>
      </c>
      <c r="H27" s="86">
        <v>17.66</v>
      </c>
      <c r="I27" s="73">
        <f t="shared" si="1"/>
        <v>23984.575800000002</v>
      </c>
      <c r="M27" s="88">
        <f t="shared" si="0"/>
        <v>29501.028234</v>
      </c>
    </row>
    <row r="28" spans="1:13" ht="15">
      <c r="A28" s="117" t="s">
        <v>185</v>
      </c>
      <c r="B28" s="44" t="s">
        <v>43</v>
      </c>
      <c r="C28" s="79" t="s">
        <v>130</v>
      </c>
      <c r="D28" s="51" t="s">
        <v>42</v>
      </c>
      <c r="E28" s="44" t="s">
        <v>11</v>
      </c>
      <c r="F28" s="53">
        <f>F27</f>
        <v>1358.13</v>
      </c>
      <c r="G28" s="49">
        <v>7.23</v>
      </c>
      <c r="H28" s="86">
        <v>9.04</v>
      </c>
      <c r="I28" s="73">
        <f t="shared" si="1"/>
        <v>12277.4952</v>
      </c>
      <c r="M28" s="88">
        <f t="shared" si="0"/>
        <v>15101.319096</v>
      </c>
    </row>
    <row r="29" spans="1:13" ht="15">
      <c r="A29" s="117" t="s">
        <v>186</v>
      </c>
      <c r="B29" s="44" t="s">
        <v>37</v>
      </c>
      <c r="C29" s="79" t="s">
        <v>130</v>
      </c>
      <c r="D29" s="51" t="s">
        <v>20</v>
      </c>
      <c r="E29" s="44" t="s">
        <v>11</v>
      </c>
      <c r="F29" s="53">
        <f>F26</f>
        <v>1358.13</v>
      </c>
      <c r="G29" s="49">
        <v>5.59</v>
      </c>
      <c r="H29" s="86">
        <v>6.99</v>
      </c>
      <c r="I29" s="73">
        <f t="shared" si="1"/>
        <v>9493.328700000002</v>
      </c>
      <c r="M29" s="88">
        <f t="shared" si="0"/>
        <v>11676.794301000002</v>
      </c>
    </row>
    <row r="30" spans="1:13" ht="15">
      <c r="A30" s="117" t="s">
        <v>187</v>
      </c>
      <c r="B30" s="44" t="s">
        <v>47</v>
      </c>
      <c r="C30" s="79" t="s">
        <v>130</v>
      </c>
      <c r="D30" s="51" t="s">
        <v>45</v>
      </c>
      <c r="E30" s="44" t="s">
        <v>12</v>
      </c>
      <c r="F30" s="53">
        <v>3585.42</v>
      </c>
      <c r="G30" s="49">
        <v>14.73</v>
      </c>
      <c r="H30" s="86">
        <v>18.41</v>
      </c>
      <c r="I30" s="73">
        <f t="shared" si="1"/>
        <v>66007.5822</v>
      </c>
      <c r="M30" s="88">
        <f t="shared" si="0"/>
        <v>81189.32610600001</v>
      </c>
    </row>
    <row r="31" spans="1:13" ht="15">
      <c r="A31" s="117" t="s">
        <v>188</v>
      </c>
      <c r="B31" s="44" t="s">
        <v>102</v>
      </c>
      <c r="C31" s="79" t="s">
        <v>130</v>
      </c>
      <c r="D31" s="51" t="s">
        <v>46</v>
      </c>
      <c r="E31" s="44" t="s">
        <v>12</v>
      </c>
      <c r="F31" s="53">
        <v>844.45</v>
      </c>
      <c r="G31" s="49">
        <v>32.63</v>
      </c>
      <c r="H31" s="86">
        <v>40.79</v>
      </c>
      <c r="I31" s="73">
        <f t="shared" si="1"/>
        <v>34445.1155</v>
      </c>
      <c r="M31" s="88">
        <f t="shared" si="0"/>
        <v>42367.492065</v>
      </c>
    </row>
    <row r="32" spans="1:13" ht="15">
      <c r="A32" s="117" t="s">
        <v>189</v>
      </c>
      <c r="B32" s="44" t="s">
        <v>28</v>
      </c>
      <c r="C32" s="79" t="s">
        <v>130</v>
      </c>
      <c r="D32" s="51" t="s">
        <v>29</v>
      </c>
      <c r="E32" s="44" t="s">
        <v>12</v>
      </c>
      <c r="F32" s="53">
        <v>2703.78</v>
      </c>
      <c r="G32" s="49">
        <v>10.16</v>
      </c>
      <c r="H32" s="86">
        <v>12.7</v>
      </c>
      <c r="I32" s="73">
        <f t="shared" si="1"/>
        <v>34338.006</v>
      </c>
      <c r="M32" s="88">
        <f t="shared" si="0"/>
        <v>42235.74738</v>
      </c>
    </row>
    <row r="33" spans="1:13" s="11" customFormat="1" ht="15">
      <c r="A33" s="125" t="s">
        <v>58</v>
      </c>
      <c r="B33" s="155" t="s">
        <v>76</v>
      </c>
      <c r="C33" s="156"/>
      <c r="D33" s="156"/>
      <c r="E33" s="156"/>
      <c r="F33" s="156"/>
      <c r="G33" s="157"/>
      <c r="H33" s="119"/>
      <c r="I33" s="99">
        <f>SUM(I35:I42)</f>
        <v>556377.1852</v>
      </c>
      <c r="M33" s="88">
        <f t="shared" si="0"/>
        <v>684343.9377959999</v>
      </c>
    </row>
    <row r="34" spans="1:13" ht="15">
      <c r="A34" s="155" t="s">
        <v>77</v>
      </c>
      <c r="B34" s="156"/>
      <c r="C34" s="156"/>
      <c r="D34" s="156"/>
      <c r="E34" s="156"/>
      <c r="F34" s="156"/>
      <c r="G34" s="157"/>
      <c r="H34" s="119"/>
      <c r="I34" s="75"/>
      <c r="M34" s="88">
        <f t="shared" si="0"/>
        <v>0</v>
      </c>
    </row>
    <row r="35" spans="1:13" ht="17.25" customHeight="1">
      <c r="A35" s="117" t="s">
        <v>104</v>
      </c>
      <c r="B35" s="44" t="s">
        <v>51</v>
      </c>
      <c r="C35" s="79" t="s">
        <v>130</v>
      </c>
      <c r="D35" s="57" t="s">
        <v>113</v>
      </c>
      <c r="E35" s="58" t="s">
        <v>11</v>
      </c>
      <c r="F35" s="59">
        <v>7717.66</v>
      </c>
      <c r="G35" s="73">
        <v>14.5</v>
      </c>
      <c r="H35" s="86">
        <v>18.13</v>
      </c>
      <c r="I35" s="73">
        <f aca="true" t="shared" si="2" ref="I35:I45">F35*H35</f>
        <v>139921.1758</v>
      </c>
      <c r="M35" s="88">
        <f t="shared" si="0"/>
        <v>172103.046234</v>
      </c>
    </row>
    <row r="36" spans="1:13" ht="15">
      <c r="A36" s="117" t="s">
        <v>105</v>
      </c>
      <c r="B36" s="44" t="s">
        <v>52</v>
      </c>
      <c r="C36" s="79" t="s">
        <v>130</v>
      </c>
      <c r="D36" s="57" t="s">
        <v>114</v>
      </c>
      <c r="E36" s="58" t="s">
        <v>11</v>
      </c>
      <c r="F36" s="59">
        <f>F35</f>
        <v>7717.66</v>
      </c>
      <c r="G36" s="73">
        <v>11.92</v>
      </c>
      <c r="H36" s="86">
        <v>14.9</v>
      </c>
      <c r="I36" s="73">
        <f t="shared" si="2"/>
        <v>114993.134</v>
      </c>
      <c r="M36" s="88">
        <f t="shared" si="0"/>
        <v>141441.55482</v>
      </c>
    </row>
    <row r="37" spans="1:13" ht="15">
      <c r="A37" s="117" t="s">
        <v>190</v>
      </c>
      <c r="B37" s="44" t="s">
        <v>53</v>
      </c>
      <c r="C37" s="79" t="s">
        <v>130</v>
      </c>
      <c r="D37" s="60" t="s">
        <v>78</v>
      </c>
      <c r="E37" s="58" t="s">
        <v>11</v>
      </c>
      <c r="F37" s="59">
        <f>F36</f>
        <v>7717.66</v>
      </c>
      <c r="G37" s="73">
        <v>12.72</v>
      </c>
      <c r="H37" s="86">
        <v>15.9</v>
      </c>
      <c r="I37" s="73">
        <f t="shared" si="2"/>
        <v>122710.794</v>
      </c>
      <c r="J37" s="89">
        <f>SUM(I35:I37)</f>
        <v>377625.1038</v>
      </c>
      <c r="M37" s="88">
        <f t="shared" si="0"/>
        <v>150934.27662</v>
      </c>
    </row>
    <row r="38" spans="1:13" ht="15">
      <c r="A38" s="155" t="s">
        <v>79</v>
      </c>
      <c r="B38" s="156"/>
      <c r="C38" s="156"/>
      <c r="D38" s="156"/>
      <c r="E38" s="156"/>
      <c r="F38" s="156"/>
      <c r="G38" s="156"/>
      <c r="H38" s="156"/>
      <c r="I38" s="157"/>
      <c r="M38" s="88">
        <f t="shared" si="0"/>
        <v>0</v>
      </c>
    </row>
    <row r="39" spans="1:13" ht="27">
      <c r="A39" s="117" t="s">
        <v>191</v>
      </c>
      <c r="B39" s="44" t="s">
        <v>54</v>
      </c>
      <c r="C39" s="79" t="s">
        <v>130</v>
      </c>
      <c r="D39" s="57" t="s">
        <v>115</v>
      </c>
      <c r="E39" s="58" t="s">
        <v>12</v>
      </c>
      <c r="F39" s="59">
        <v>1345.65</v>
      </c>
      <c r="G39" s="73">
        <v>21.29</v>
      </c>
      <c r="H39" s="86">
        <v>26.61</v>
      </c>
      <c r="I39" s="73">
        <f t="shared" si="2"/>
        <v>35807.7465</v>
      </c>
      <c r="M39" s="88">
        <f t="shared" si="0"/>
        <v>44043.528195</v>
      </c>
    </row>
    <row r="40" spans="1:13" ht="15">
      <c r="A40" s="117" t="s">
        <v>192</v>
      </c>
      <c r="B40" s="44" t="s">
        <v>55</v>
      </c>
      <c r="C40" s="79" t="s">
        <v>130</v>
      </c>
      <c r="D40" s="57" t="s">
        <v>116</v>
      </c>
      <c r="E40" s="58" t="s">
        <v>12</v>
      </c>
      <c r="F40" s="59">
        <v>1345.65</v>
      </c>
      <c r="G40" s="73">
        <v>15.28</v>
      </c>
      <c r="H40" s="86">
        <v>19.1</v>
      </c>
      <c r="I40" s="73">
        <f t="shared" si="2"/>
        <v>25701.915000000005</v>
      </c>
      <c r="M40" s="88">
        <f t="shared" si="0"/>
        <v>31613.355450000006</v>
      </c>
    </row>
    <row r="41" spans="1:13" ht="15">
      <c r="A41" s="117" t="s">
        <v>193</v>
      </c>
      <c r="B41" s="44" t="s">
        <v>56</v>
      </c>
      <c r="C41" s="79" t="s">
        <v>130</v>
      </c>
      <c r="D41" s="57" t="s">
        <v>117</v>
      </c>
      <c r="E41" s="58" t="s">
        <v>12</v>
      </c>
      <c r="F41" s="59">
        <v>1345.65</v>
      </c>
      <c r="G41" s="73">
        <v>7.48</v>
      </c>
      <c r="H41" s="86">
        <v>9.35</v>
      </c>
      <c r="I41" s="73">
        <f t="shared" si="2"/>
        <v>12581.827500000001</v>
      </c>
      <c r="J41" s="89">
        <f>SUM(I39:I41)</f>
        <v>74091.489</v>
      </c>
      <c r="M41" s="88">
        <f t="shared" si="0"/>
        <v>15475.647825000002</v>
      </c>
    </row>
    <row r="42" spans="1:13" ht="27">
      <c r="A42" s="117" t="s">
        <v>194</v>
      </c>
      <c r="B42" s="44" t="s">
        <v>57</v>
      </c>
      <c r="C42" s="79" t="s">
        <v>130</v>
      </c>
      <c r="D42" s="57" t="s">
        <v>118</v>
      </c>
      <c r="E42" s="58" t="s">
        <v>11</v>
      </c>
      <c r="F42" s="59">
        <f>ROUND((F40*0.04),2)</f>
        <v>53.83</v>
      </c>
      <c r="G42" s="73">
        <v>1555.42</v>
      </c>
      <c r="H42" s="86">
        <v>1944.28</v>
      </c>
      <c r="I42" s="73">
        <f t="shared" si="2"/>
        <v>104660.5924</v>
      </c>
      <c r="M42" s="88">
        <f t="shared" si="0"/>
        <v>128732.528652</v>
      </c>
    </row>
    <row r="43" spans="1:13" s="11" customFormat="1" ht="15">
      <c r="A43" s="125" t="s">
        <v>61</v>
      </c>
      <c r="B43" s="155" t="s">
        <v>80</v>
      </c>
      <c r="C43" s="156"/>
      <c r="D43" s="156"/>
      <c r="E43" s="156"/>
      <c r="F43" s="156"/>
      <c r="G43" s="157"/>
      <c r="H43" s="119"/>
      <c r="I43" s="98">
        <f>I44+I45</f>
        <v>38462.6728</v>
      </c>
      <c r="M43" s="88">
        <f t="shared" si="0"/>
        <v>47309.087544</v>
      </c>
    </row>
    <row r="44" spans="1:13" ht="15">
      <c r="A44" s="117" t="s">
        <v>195</v>
      </c>
      <c r="B44" s="62" t="s">
        <v>59</v>
      </c>
      <c r="C44" s="79" t="s">
        <v>130</v>
      </c>
      <c r="D44" s="63" t="s">
        <v>119</v>
      </c>
      <c r="E44" s="64" t="s">
        <v>11</v>
      </c>
      <c r="F44" s="65">
        <v>18.43</v>
      </c>
      <c r="G44" s="86">
        <v>1230.06</v>
      </c>
      <c r="H44" s="86">
        <v>1537.58</v>
      </c>
      <c r="I44" s="73">
        <f t="shared" si="2"/>
        <v>28337.5994</v>
      </c>
      <c r="M44" s="88">
        <f t="shared" si="0"/>
        <v>34855.247262</v>
      </c>
    </row>
    <row r="45" spans="1:13" ht="15">
      <c r="A45" s="117" t="s">
        <v>196</v>
      </c>
      <c r="B45" s="62" t="s">
        <v>60</v>
      </c>
      <c r="C45" s="79" t="s">
        <v>130</v>
      </c>
      <c r="D45" s="63" t="s">
        <v>120</v>
      </c>
      <c r="E45" s="64" t="s">
        <v>11</v>
      </c>
      <c r="F45" s="65">
        <v>18.43</v>
      </c>
      <c r="G45" s="86">
        <v>439.5</v>
      </c>
      <c r="H45" s="86">
        <v>549.38</v>
      </c>
      <c r="I45" s="73">
        <f t="shared" si="2"/>
        <v>10125.0734</v>
      </c>
      <c r="M45" s="88">
        <f t="shared" si="0"/>
        <v>12453.840282</v>
      </c>
    </row>
    <row r="46" spans="1:13" ht="15">
      <c r="A46" s="116"/>
      <c r="B46" s="66"/>
      <c r="C46" s="79"/>
      <c r="D46" s="168"/>
      <c r="E46" s="169"/>
      <c r="F46" s="169"/>
      <c r="G46" s="169"/>
      <c r="H46" s="115"/>
      <c r="I46" s="77"/>
      <c r="M46" s="88">
        <f t="shared" si="0"/>
        <v>0</v>
      </c>
    </row>
    <row r="47" spans="1:13" s="11" customFormat="1" ht="15">
      <c r="A47" s="125" t="s">
        <v>66</v>
      </c>
      <c r="B47" s="155" t="s">
        <v>226</v>
      </c>
      <c r="C47" s="156"/>
      <c r="D47" s="156"/>
      <c r="E47" s="156"/>
      <c r="F47" s="156"/>
      <c r="G47" s="157"/>
      <c r="H47" s="119"/>
      <c r="I47" s="99">
        <f>SUM(I50:I74)</f>
        <v>924491.9391000001</v>
      </c>
      <c r="M47" s="88">
        <f t="shared" si="0"/>
        <v>1137125.085093</v>
      </c>
    </row>
    <row r="48" spans="1:13" ht="15">
      <c r="A48" s="155" t="s">
        <v>81</v>
      </c>
      <c r="B48" s="156"/>
      <c r="C48" s="156"/>
      <c r="D48" s="156"/>
      <c r="E48" s="156"/>
      <c r="F48" s="156"/>
      <c r="G48" s="156"/>
      <c r="H48" s="156"/>
      <c r="I48" s="157"/>
      <c r="M48" s="88">
        <f t="shared" si="0"/>
        <v>0</v>
      </c>
    </row>
    <row r="49" spans="1:13" ht="15">
      <c r="A49" s="156" t="s">
        <v>82</v>
      </c>
      <c r="B49" s="156"/>
      <c r="C49" s="156"/>
      <c r="D49" s="156"/>
      <c r="E49" s="156"/>
      <c r="F49" s="156"/>
      <c r="G49" s="156"/>
      <c r="H49" s="156"/>
      <c r="I49" s="156"/>
      <c r="J49" s="118"/>
      <c r="M49" s="88">
        <f t="shared" si="0"/>
        <v>0</v>
      </c>
    </row>
    <row r="50" spans="1:13" ht="15">
      <c r="A50" s="134" t="s">
        <v>67</v>
      </c>
      <c r="B50" s="55" t="s">
        <v>62</v>
      </c>
      <c r="C50" s="135" t="s">
        <v>130</v>
      </c>
      <c r="D50" s="63" t="s">
        <v>228</v>
      </c>
      <c r="E50" s="64" t="s">
        <v>10</v>
      </c>
      <c r="F50" s="136">
        <v>5072</v>
      </c>
      <c r="G50" s="86">
        <v>12.91</v>
      </c>
      <c r="H50" s="86">
        <v>16.14</v>
      </c>
      <c r="I50" s="73">
        <f aca="true" t="shared" si="3" ref="I50:I74">F50*H50</f>
        <v>81862.08</v>
      </c>
      <c r="M50" s="88">
        <f t="shared" si="0"/>
        <v>100690.3584</v>
      </c>
    </row>
    <row r="51" spans="1:13" ht="27">
      <c r="A51" s="134" t="s">
        <v>68</v>
      </c>
      <c r="B51" s="55" t="s">
        <v>112</v>
      </c>
      <c r="C51" s="135" t="s">
        <v>130</v>
      </c>
      <c r="D51" s="63" t="s">
        <v>122</v>
      </c>
      <c r="E51" s="58" t="s">
        <v>12</v>
      </c>
      <c r="F51" s="48">
        <v>157.62</v>
      </c>
      <c r="G51" s="73">
        <v>141.44</v>
      </c>
      <c r="H51" s="86">
        <v>176.8</v>
      </c>
      <c r="I51" s="73">
        <f t="shared" si="3"/>
        <v>27867.216000000004</v>
      </c>
      <c r="M51" s="88">
        <f t="shared" si="0"/>
        <v>34276.67568000001</v>
      </c>
    </row>
    <row r="52" spans="1:13" ht="15">
      <c r="A52" s="134" t="s">
        <v>106</v>
      </c>
      <c r="B52" s="62" t="s">
        <v>137</v>
      </c>
      <c r="C52" s="135" t="s">
        <v>130</v>
      </c>
      <c r="D52" s="63" t="s">
        <v>136</v>
      </c>
      <c r="E52" s="64" t="s">
        <v>11</v>
      </c>
      <c r="F52" s="136">
        <v>36.77</v>
      </c>
      <c r="G52" s="86">
        <v>376.04</v>
      </c>
      <c r="H52" s="86">
        <v>470.05</v>
      </c>
      <c r="I52" s="73">
        <f t="shared" si="3"/>
        <v>17283.738500000003</v>
      </c>
      <c r="M52" s="88">
        <f t="shared" si="0"/>
        <v>21258.998355000003</v>
      </c>
    </row>
    <row r="53" spans="1:13" ht="15">
      <c r="A53" s="134" t="s">
        <v>197</v>
      </c>
      <c r="B53" s="133" t="s">
        <v>63</v>
      </c>
      <c r="C53" s="135" t="s">
        <v>130</v>
      </c>
      <c r="D53" s="130" t="s">
        <v>83</v>
      </c>
      <c r="E53" s="64" t="s">
        <v>11</v>
      </c>
      <c r="F53" s="136">
        <v>36.77</v>
      </c>
      <c r="G53" s="86">
        <v>122.4</v>
      </c>
      <c r="H53" s="86">
        <v>153</v>
      </c>
      <c r="I53" s="73">
        <f t="shared" si="3"/>
        <v>5625.81</v>
      </c>
      <c r="M53" s="88">
        <f t="shared" si="0"/>
        <v>6919.746300000001</v>
      </c>
    </row>
    <row r="54" spans="1:13" ht="15">
      <c r="A54" s="134" t="s">
        <v>169</v>
      </c>
      <c r="B54" s="55" t="s">
        <v>137</v>
      </c>
      <c r="C54" s="135" t="s">
        <v>130</v>
      </c>
      <c r="D54" s="57" t="s">
        <v>138</v>
      </c>
      <c r="E54" s="58" t="s">
        <v>11</v>
      </c>
      <c r="F54" s="48">
        <v>13.95</v>
      </c>
      <c r="G54" s="73">
        <v>376.04</v>
      </c>
      <c r="H54" s="86">
        <v>470.05</v>
      </c>
      <c r="I54" s="73">
        <f t="shared" si="3"/>
        <v>6557.1975</v>
      </c>
      <c r="M54" s="88">
        <f t="shared" si="0"/>
        <v>8065.352925</v>
      </c>
    </row>
    <row r="55" spans="1:13" ht="15">
      <c r="A55" s="134" t="s">
        <v>198</v>
      </c>
      <c r="B55" s="62" t="s">
        <v>64</v>
      </c>
      <c r="C55" s="135" t="s">
        <v>130</v>
      </c>
      <c r="D55" s="130" t="s">
        <v>84</v>
      </c>
      <c r="E55" s="64" t="s">
        <v>11</v>
      </c>
      <c r="F55" s="48">
        <v>13.95</v>
      </c>
      <c r="G55" s="86">
        <v>84.54</v>
      </c>
      <c r="H55" s="86">
        <v>105.68</v>
      </c>
      <c r="I55" s="73">
        <f t="shared" si="3"/>
        <v>1474.236</v>
      </c>
      <c r="M55" s="88">
        <f t="shared" si="0"/>
        <v>1813.3102800000001</v>
      </c>
    </row>
    <row r="56" spans="1:13" ht="15">
      <c r="A56" s="134" t="s">
        <v>199</v>
      </c>
      <c r="B56" s="62" t="s">
        <v>137</v>
      </c>
      <c r="C56" s="135" t="s">
        <v>130</v>
      </c>
      <c r="D56" s="63" t="s">
        <v>229</v>
      </c>
      <c r="E56" s="64" t="s">
        <v>11</v>
      </c>
      <c r="F56" s="48">
        <v>5.75</v>
      </c>
      <c r="G56" s="86">
        <v>376.04</v>
      </c>
      <c r="H56" s="86">
        <v>470.05</v>
      </c>
      <c r="I56" s="73">
        <f t="shared" si="3"/>
        <v>2702.7875</v>
      </c>
      <c r="M56" s="88"/>
    </row>
    <row r="57" spans="1:13" ht="27.75">
      <c r="A57" s="134" t="s">
        <v>200</v>
      </c>
      <c r="B57" s="62" t="s">
        <v>64</v>
      </c>
      <c r="C57" s="135" t="s">
        <v>130</v>
      </c>
      <c r="D57" s="131" t="s">
        <v>230</v>
      </c>
      <c r="E57" s="64" t="s">
        <v>11</v>
      </c>
      <c r="F57" s="136">
        <v>5.75</v>
      </c>
      <c r="G57" s="86">
        <v>84.54</v>
      </c>
      <c r="H57" s="86">
        <v>105.68</v>
      </c>
      <c r="I57" s="73">
        <f t="shared" si="3"/>
        <v>607.6600000000001</v>
      </c>
      <c r="J57" s="128"/>
      <c r="M57" s="88"/>
    </row>
    <row r="58" spans="1:13" ht="27.75">
      <c r="A58" s="134" t="s">
        <v>175</v>
      </c>
      <c r="B58" s="62" t="s">
        <v>227</v>
      </c>
      <c r="C58" s="135" t="s">
        <v>130</v>
      </c>
      <c r="D58" s="132" t="s">
        <v>231</v>
      </c>
      <c r="E58" s="64" t="s">
        <v>10</v>
      </c>
      <c r="F58" s="48">
        <v>132.9</v>
      </c>
      <c r="G58" s="86">
        <v>10.99</v>
      </c>
      <c r="H58" s="86">
        <v>13.74</v>
      </c>
      <c r="I58" s="73">
        <f t="shared" si="3"/>
        <v>1826.046</v>
      </c>
      <c r="M58" s="88"/>
    </row>
    <row r="59" spans="1:13" ht="27.75">
      <c r="A59" s="134" t="s">
        <v>201</v>
      </c>
      <c r="B59" s="55" t="s">
        <v>62</v>
      </c>
      <c r="C59" s="135" t="s">
        <v>130</v>
      </c>
      <c r="D59" s="132" t="s">
        <v>232</v>
      </c>
      <c r="E59" s="64" t="s">
        <v>10</v>
      </c>
      <c r="F59" s="136">
        <v>84.53</v>
      </c>
      <c r="G59" s="86">
        <v>12.91</v>
      </c>
      <c r="H59" s="86">
        <v>16.14</v>
      </c>
      <c r="I59" s="73">
        <f t="shared" si="3"/>
        <v>1364.3142</v>
      </c>
      <c r="M59" s="88"/>
    </row>
    <row r="60" spans="1:13" ht="15">
      <c r="A60" s="134" t="s">
        <v>202</v>
      </c>
      <c r="B60" s="62" t="s">
        <v>137</v>
      </c>
      <c r="C60" s="135" t="s">
        <v>130</v>
      </c>
      <c r="D60" s="63" t="s">
        <v>233</v>
      </c>
      <c r="E60" s="64" t="s">
        <v>11</v>
      </c>
      <c r="F60" s="136">
        <v>2.88</v>
      </c>
      <c r="G60" s="86">
        <v>376.04</v>
      </c>
      <c r="H60" s="86">
        <v>470.05</v>
      </c>
      <c r="I60" s="73">
        <f t="shared" si="3"/>
        <v>1353.744</v>
      </c>
      <c r="M60" s="88"/>
    </row>
    <row r="61" spans="1:13" ht="27.75">
      <c r="A61" s="134" t="s">
        <v>203</v>
      </c>
      <c r="B61" s="62" t="s">
        <v>64</v>
      </c>
      <c r="C61" s="135" t="s">
        <v>130</v>
      </c>
      <c r="D61" s="131" t="s">
        <v>234</v>
      </c>
      <c r="E61" s="64" t="s">
        <v>11</v>
      </c>
      <c r="F61" s="48">
        <v>2.88</v>
      </c>
      <c r="G61" s="86">
        <v>84.54</v>
      </c>
      <c r="H61" s="86">
        <v>105.68</v>
      </c>
      <c r="I61" s="73">
        <f t="shared" si="3"/>
        <v>304.3584</v>
      </c>
      <c r="M61" s="88"/>
    </row>
    <row r="62" spans="1:13" ht="27.75">
      <c r="A62" s="134" t="s">
        <v>204</v>
      </c>
      <c r="B62" s="62" t="s">
        <v>227</v>
      </c>
      <c r="C62" s="135" t="s">
        <v>130</v>
      </c>
      <c r="D62" s="132" t="s">
        <v>235</v>
      </c>
      <c r="E62" s="64" t="s">
        <v>10</v>
      </c>
      <c r="F62" s="48">
        <v>88.6</v>
      </c>
      <c r="G62" s="86">
        <v>10.99</v>
      </c>
      <c r="H62" s="86">
        <v>13.74</v>
      </c>
      <c r="I62" s="73">
        <f t="shared" si="3"/>
        <v>1217.364</v>
      </c>
      <c r="M62" s="88"/>
    </row>
    <row r="63" spans="1:13" ht="27.75">
      <c r="A63" s="134" t="s">
        <v>205</v>
      </c>
      <c r="B63" s="55" t="s">
        <v>62</v>
      </c>
      <c r="C63" s="135" t="s">
        <v>130</v>
      </c>
      <c r="D63" s="132" t="s">
        <v>232</v>
      </c>
      <c r="E63" s="64" t="s">
        <v>10</v>
      </c>
      <c r="F63" s="48">
        <v>48.3</v>
      </c>
      <c r="G63" s="86">
        <v>12.91</v>
      </c>
      <c r="H63" s="86">
        <v>16.14</v>
      </c>
      <c r="I63" s="73">
        <f t="shared" si="3"/>
        <v>779.562</v>
      </c>
      <c r="M63" s="88"/>
    </row>
    <row r="64" spans="1:13" ht="15">
      <c r="A64" s="155" t="s">
        <v>85</v>
      </c>
      <c r="B64" s="156"/>
      <c r="C64" s="156"/>
      <c r="D64" s="156"/>
      <c r="E64" s="156"/>
      <c r="F64" s="156"/>
      <c r="G64" s="156"/>
      <c r="H64" s="156"/>
      <c r="I64" s="157"/>
      <c r="M64" s="88">
        <f t="shared" si="0"/>
        <v>0</v>
      </c>
    </row>
    <row r="65" spans="1:13" ht="15">
      <c r="A65" s="116" t="s">
        <v>206</v>
      </c>
      <c r="B65" s="44" t="s">
        <v>48</v>
      </c>
      <c r="C65" s="79" t="s">
        <v>130</v>
      </c>
      <c r="D65" s="129" t="s">
        <v>121</v>
      </c>
      <c r="E65" s="64" t="s">
        <v>11</v>
      </c>
      <c r="F65" s="65">
        <v>80</v>
      </c>
      <c r="G65" s="86">
        <v>159.5</v>
      </c>
      <c r="H65" s="86">
        <v>199.38</v>
      </c>
      <c r="I65" s="73">
        <f t="shared" si="3"/>
        <v>15950.4</v>
      </c>
      <c r="M65" s="88">
        <f t="shared" si="0"/>
        <v>19618.992</v>
      </c>
    </row>
    <row r="66" spans="1:13" ht="26.25" customHeight="1">
      <c r="A66" s="116" t="s">
        <v>207</v>
      </c>
      <c r="B66" s="67" t="s">
        <v>236</v>
      </c>
      <c r="C66" s="55" t="s">
        <v>147</v>
      </c>
      <c r="D66" s="68" t="s">
        <v>146</v>
      </c>
      <c r="E66" s="58" t="s">
        <v>16</v>
      </c>
      <c r="F66" s="59">
        <v>100</v>
      </c>
      <c r="G66" s="86">
        <v>3408.35</v>
      </c>
      <c r="H66" s="86">
        <v>4260.44</v>
      </c>
      <c r="I66" s="73">
        <f t="shared" si="3"/>
        <v>426043.99999999994</v>
      </c>
      <c r="J66">
        <v>1759.44</v>
      </c>
      <c r="M66" s="88">
        <f t="shared" si="0"/>
        <v>524034.11999999994</v>
      </c>
    </row>
    <row r="67" spans="1:13" ht="26.25" customHeight="1">
      <c r="A67" s="116" t="s">
        <v>208</v>
      </c>
      <c r="B67" s="67" t="s">
        <v>150</v>
      </c>
      <c r="C67" s="56" t="s">
        <v>40</v>
      </c>
      <c r="D67" s="68" t="s">
        <v>151</v>
      </c>
      <c r="E67" s="58" t="s">
        <v>152</v>
      </c>
      <c r="F67" s="65">
        <v>48</v>
      </c>
      <c r="G67" s="86">
        <v>223.72</v>
      </c>
      <c r="H67" s="86">
        <v>223.72</v>
      </c>
      <c r="I67" s="73">
        <f t="shared" si="3"/>
        <v>10738.56</v>
      </c>
      <c r="M67" s="88"/>
    </row>
    <row r="68" spans="1:13" s="90" customFormat="1" ht="27" customHeight="1">
      <c r="A68" s="116" t="s">
        <v>209</v>
      </c>
      <c r="B68" s="55" t="s">
        <v>65</v>
      </c>
      <c r="C68" s="56" t="s">
        <v>130</v>
      </c>
      <c r="D68" s="68" t="s">
        <v>145</v>
      </c>
      <c r="E68" s="58" t="s">
        <v>11</v>
      </c>
      <c r="F68" s="59">
        <v>12</v>
      </c>
      <c r="G68" s="73">
        <v>630.59</v>
      </c>
      <c r="H68" s="86">
        <v>788.24</v>
      </c>
      <c r="I68" s="73">
        <f t="shared" si="3"/>
        <v>9458.880000000001</v>
      </c>
      <c r="M68" s="91">
        <f t="shared" si="0"/>
        <v>11634.422400000001</v>
      </c>
    </row>
    <row r="69" spans="1:13" ht="15">
      <c r="A69" s="116" t="s">
        <v>210</v>
      </c>
      <c r="B69" s="55" t="s">
        <v>47</v>
      </c>
      <c r="C69" s="56" t="s">
        <v>130</v>
      </c>
      <c r="D69" s="57" t="s">
        <v>158</v>
      </c>
      <c r="E69" s="58" t="s">
        <v>12</v>
      </c>
      <c r="F69" s="59">
        <v>240</v>
      </c>
      <c r="G69" s="73">
        <v>14.73</v>
      </c>
      <c r="H69" s="86">
        <v>18.41</v>
      </c>
      <c r="I69" s="73">
        <f t="shared" si="3"/>
        <v>4418.4</v>
      </c>
      <c r="M69" s="88">
        <f t="shared" si="0"/>
        <v>5434.632</v>
      </c>
    </row>
    <row r="70" spans="1:13" ht="15">
      <c r="A70" s="155" t="s">
        <v>97</v>
      </c>
      <c r="B70" s="156"/>
      <c r="C70" s="156"/>
      <c r="D70" s="156"/>
      <c r="E70" s="156"/>
      <c r="F70" s="156"/>
      <c r="G70" s="157"/>
      <c r="H70" s="155"/>
      <c r="I70" s="157"/>
      <c r="M70" s="88">
        <f t="shared" si="0"/>
        <v>0</v>
      </c>
    </row>
    <row r="71" spans="1:13" ht="15">
      <c r="A71" s="116" t="s">
        <v>220</v>
      </c>
      <c r="B71" s="69" t="s">
        <v>99</v>
      </c>
      <c r="C71" s="56" t="s">
        <v>130</v>
      </c>
      <c r="D71" s="70" t="s">
        <v>98</v>
      </c>
      <c r="E71" s="58" t="s">
        <v>16</v>
      </c>
      <c r="F71" s="59">
        <v>70</v>
      </c>
      <c r="G71" s="73">
        <v>577.36</v>
      </c>
      <c r="H71" s="86">
        <v>721.7</v>
      </c>
      <c r="I71" s="73">
        <f t="shared" si="3"/>
        <v>50519</v>
      </c>
      <c r="M71" s="88">
        <f t="shared" si="0"/>
        <v>62138.37</v>
      </c>
    </row>
    <row r="72" spans="1:13" ht="15">
      <c r="A72" s="116" t="s">
        <v>221</v>
      </c>
      <c r="B72" s="69" t="s">
        <v>149</v>
      </c>
      <c r="C72" s="56" t="s">
        <v>130</v>
      </c>
      <c r="D72" s="70" t="s">
        <v>148</v>
      </c>
      <c r="E72" s="58" t="s">
        <v>16</v>
      </c>
      <c r="F72" s="59">
        <v>17</v>
      </c>
      <c r="G72" s="73">
        <v>249.48</v>
      </c>
      <c r="H72" s="86">
        <v>311.85</v>
      </c>
      <c r="I72" s="73">
        <f t="shared" si="3"/>
        <v>5301.450000000001</v>
      </c>
      <c r="M72" s="88">
        <f t="shared" si="0"/>
        <v>6520.7835000000005</v>
      </c>
    </row>
    <row r="73" spans="1:13" ht="15">
      <c r="A73" s="116" t="s">
        <v>222</v>
      </c>
      <c r="B73" s="69" t="s">
        <v>101</v>
      </c>
      <c r="C73" s="56" t="s">
        <v>130</v>
      </c>
      <c r="D73" s="70" t="s">
        <v>100</v>
      </c>
      <c r="E73" s="58" t="s">
        <v>14</v>
      </c>
      <c r="F73" s="59">
        <v>2</v>
      </c>
      <c r="G73" s="73">
        <v>2867.54</v>
      </c>
      <c r="H73" s="86">
        <v>3584.43</v>
      </c>
      <c r="I73" s="73">
        <f t="shared" si="3"/>
        <v>7168.86</v>
      </c>
      <c r="M73" s="88">
        <f t="shared" si="0"/>
        <v>8817.6978</v>
      </c>
    </row>
    <row r="74" spans="1:13" s="16" customFormat="1" ht="27.75">
      <c r="A74" s="116" t="s">
        <v>238</v>
      </c>
      <c r="B74" s="54" t="s">
        <v>110</v>
      </c>
      <c r="C74" s="56" t="s">
        <v>130</v>
      </c>
      <c r="D74" s="105" t="s">
        <v>144</v>
      </c>
      <c r="E74" s="58" t="s">
        <v>16</v>
      </c>
      <c r="F74" s="59">
        <v>254.7</v>
      </c>
      <c r="G74" s="73">
        <v>766.6</v>
      </c>
      <c r="H74" s="86">
        <v>958.25</v>
      </c>
      <c r="I74" s="73">
        <f t="shared" si="3"/>
        <v>244066.275</v>
      </c>
      <c r="M74" s="88">
        <f t="shared" si="0"/>
        <v>300201.51824999996</v>
      </c>
    </row>
    <row r="75" spans="1:13" s="11" customFormat="1" ht="15">
      <c r="A75" s="125" t="s">
        <v>69</v>
      </c>
      <c r="B75" s="155" t="s">
        <v>86</v>
      </c>
      <c r="C75" s="156"/>
      <c r="D75" s="156"/>
      <c r="E75" s="156"/>
      <c r="F75" s="156"/>
      <c r="G75" s="157"/>
      <c r="H75" s="119"/>
      <c r="I75" s="99">
        <f>ROUND(SUM(I77:I81),2)</f>
        <v>8568.88</v>
      </c>
      <c r="M75" s="88">
        <f t="shared" si="0"/>
        <v>10539.722399999999</v>
      </c>
    </row>
    <row r="76" spans="1:13" ht="15">
      <c r="A76" s="155" t="s">
        <v>216</v>
      </c>
      <c r="B76" s="156"/>
      <c r="C76" s="156"/>
      <c r="D76" s="156"/>
      <c r="E76" s="156"/>
      <c r="F76" s="156"/>
      <c r="G76" s="157"/>
      <c r="H76" s="155"/>
      <c r="I76" s="157"/>
      <c r="M76" s="88">
        <f t="shared" si="0"/>
        <v>0</v>
      </c>
    </row>
    <row r="77" spans="1:13" ht="15">
      <c r="A77" s="116" t="s">
        <v>17</v>
      </c>
      <c r="B77" s="55" t="s">
        <v>95</v>
      </c>
      <c r="C77" s="56" t="s">
        <v>40</v>
      </c>
      <c r="D77" s="113" t="s">
        <v>123</v>
      </c>
      <c r="E77" s="58" t="s">
        <v>16</v>
      </c>
      <c r="F77" s="59">
        <v>18</v>
      </c>
      <c r="G77" s="73">
        <v>252.11</v>
      </c>
      <c r="H77" s="73">
        <v>252.11</v>
      </c>
      <c r="I77" s="73">
        <f>F77*H77</f>
        <v>4537.9800000000005</v>
      </c>
      <c r="J77" s="82">
        <v>127</v>
      </c>
      <c r="K77" s="83">
        <f>J77/1.4179</f>
        <v>89.56908103533395</v>
      </c>
      <c r="M77" s="88">
        <f t="shared" si="0"/>
        <v>5581.715400000001</v>
      </c>
    </row>
    <row r="78" spans="1:13" ht="15">
      <c r="A78" s="116" t="s">
        <v>70</v>
      </c>
      <c r="B78" s="55" t="s">
        <v>96</v>
      </c>
      <c r="C78" s="56" t="s">
        <v>40</v>
      </c>
      <c r="D78" s="113" t="s">
        <v>124</v>
      </c>
      <c r="E78" s="58" t="s">
        <v>12</v>
      </c>
      <c r="F78" s="59">
        <v>1.194</v>
      </c>
      <c r="G78" s="73">
        <v>1182.81</v>
      </c>
      <c r="H78" s="73">
        <v>1182.81</v>
      </c>
      <c r="I78" s="73">
        <f>F78*H78</f>
        <v>1412.27514</v>
      </c>
      <c r="J78" s="80"/>
      <c r="K78" s="83"/>
      <c r="M78" s="88" t="e">
        <f>#REF!*1.23</f>
        <v>#REF!</v>
      </c>
    </row>
    <row r="79" spans="1:14" ht="22.5" customHeight="1">
      <c r="A79" s="116" t="s">
        <v>211</v>
      </c>
      <c r="B79" s="55" t="s">
        <v>94</v>
      </c>
      <c r="C79" s="56" t="s">
        <v>40</v>
      </c>
      <c r="D79" s="113" t="s">
        <v>125</v>
      </c>
      <c r="E79" s="58" t="s">
        <v>12</v>
      </c>
      <c r="F79" s="59">
        <v>0.4</v>
      </c>
      <c r="G79" s="73">
        <v>1182.81</v>
      </c>
      <c r="H79" s="73">
        <v>1182.81</v>
      </c>
      <c r="I79" s="73">
        <f>F79*H79</f>
        <v>473.124</v>
      </c>
      <c r="J79" s="82">
        <v>954.7</v>
      </c>
      <c r="K79" s="83">
        <f>J79/1.4179</f>
        <v>673.3196981451443</v>
      </c>
      <c r="L79">
        <f>K79*1.25</f>
        <v>841.6496226814304</v>
      </c>
      <c r="M79" s="88">
        <f aca="true" t="shared" si="4" ref="M79:M95">I78*1.23</f>
        <v>1737.0984222</v>
      </c>
      <c r="N79">
        <f>L79/J79</f>
        <v>0.881585443261161</v>
      </c>
    </row>
    <row r="80" spans="1:13" ht="17.25" customHeight="1">
      <c r="A80" s="161" t="s">
        <v>87</v>
      </c>
      <c r="B80" s="162"/>
      <c r="C80" s="162"/>
      <c r="D80" s="162"/>
      <c r="E80" s="162"/>
      <c r="F80" s="162"/>
      <c r="G80" s="163"/>
      <c r="H80" s="122"/>
      <c r="I80" s="76"/>
      <c r="J80" s="82">
        <v>954.7</v>
      </c>
      <c r="K80" s="83">
        <f>J80/1.4179</f>
        <v>673.3196981451443</v>
      </c>
      <c r="M80" s="88">
        <f t="shared" si="4"/>
        <v>581.9425200000001</v>
      </c>
    </row>
    <row r="81" spans="1:13" ht="15">
      <c r="A81" s="116" t="s">
        <v>212</v>
      </c>
      <c r="B81" s="55" t="s">
        <v>140</v>
      </c>
      <c r="C81" s="56" t="s">
        <v>130</v>
      </c>
      <c r="D81" s="92" t="s">
        <v>139</v>
      </c>
      <c r="E81" s="58" t="s">
        <v>12</v>
      </c>
      <c r="F81" s="59">
        <v>50</v>
      </c>
      <c r="G81" s="87">
        <v>34.33</v>
      </c>
      <c r="H81" s="86">
        <v>42.91</v>
      </c>
      <c r="I81" s="73">
        <f>F81*H81</f>
        <v>2145.5</v>
      </c>
      <c r="M81" s="88">
        <f t="shared" si="4"/>
        <v>0</v>
      </c>
    </row>
    <row r="82" spans="1:13" ht="15">
      <c r="A82" s="126" t="s">
        <v>72</v>
      </c>
      <c r="B82" s="161" t="s">
        <v>109</v>
      </c>
      <c r="C82" s="162"/>
      <c r="D82" s="162"/>
      <c r="E82" s="162"/>
      <c r="F82" s="162"/>
      <c r="G82" s="163"/>
      <c r="H82" s="122"/>
      <c r="I82" s="99">
        <f>ROUND(SUM(I84:I87),2)</f>
        <v>42051.46</v>
      </c>
      <c r="M82" s="88">
        <f t="shared" si="4"/>
        <v>2638.965</v>
      </c>
    </row>
    <row r="83" spans="1:13" s="11" customFormat="1" ht="15">
      <c r="A83" s="161" t="s">
        <v>88</v>
      </c>
      <c r="B83" s="162"/>
      <c r="C83" s="162"/>
      <c r="D83" s="162"/>
      <c r="E83" s="162"/>
      <c r="F83" s="162"/>
      <c r="G83" s="162"/>
      <c r="H83" s="162"/>
      <c r="I83" s="163"/>
      <c r="M83" s="88">
        <f t="shared" si="4"/>
        <v>51723.2958</v>
      </c>
    </row>
    <row r="84" spans="1:13" ht="15">
      <c r="A84" s="116" t="s">
        <v>18</v>
      </c>
      <c r="B84" s="55" t="s">
        <v>25</v>
      </c>
      <c r="C84" s="56" t="s">
        <v>130</v>
      </c>
      <c r="D84" s="113" t="s">
        <v>126</v>
      </c>
      <c r="E84" s="58" t="s">
        <v>12</v>
      </c>
      <c r="F84" s="59">
        <v>781.67</v>
      </c>
      <c r="G84" s="73">
        <v>5.87</v>
      </c>
      <c r="H84" s="86">
        <v>7.34</v>
      </c>
      <c r="I84" s="73">
        <f>F84*H84</f>
        <v>5737.457799999999</v>
      </c>
      <c r="M84" s="88">
        <f t="shared" si="4"/>
        <v>0</v>
      </c>
    </row>
    <row r="85" spans="1:13" ht="15">
      <c r="A85" s="116" t="s">
        <v>19</v>
      </c>
      <c r="B85" s="55" t="s">
        <v>93</v>
      </c>
      <c r="C85" s="56" t="s">
        <v>130</v>
      </c>
      <c r="D85" s="113" t="s">
        <v>89</v>
      </c>
      <c r="E85" s="58" t="s">
        <v>11</v>
      </c>
      <c r="F85" s="59">
        <v>39.08</v>
      </c>
      <c r="G85" s="73">
        <v>738.48</v>
      </c>
      <c r="H85" s="86">
        <v>923.1</v>
      </c>
      <c r="I85" s="73">
        <f>F85*H85</f>
        <v>36074.748</v>
      </c>
      <c r="M85" s="88">
        <f t="shared" si="4"/>
        <v>7057.0730939999985</v>
      </c>
    </row>
    <row r="86" spans="1:13" ht="15">
      <c r="A86" s="161" t="s">
        <v>90</v>
      </c>
      <c r="B86" s="162"/>
      <c r="C86" s="162"/>
      <c r="D86" s="162"/>
      <c r="E86" s="162"/>
      <c r="F86" s="162"/>
      <c r="G86" s="162"/>
      <c r="H86" s="121"/>
      <c r="I86" s="123"/>
      <c r="M86" s="88">
        <f t="shared" si="4"/>
        <v>44371.94004</v>
      </c>
    </row>
    <row r="87" spans="1:13" ht="15">
      <c r="A87" s="116" t="s">
        <v>213</v>
      </c>
      <c r="B87" s="55" t="s">
        <v>71</v>
      </c>
      <c r="C87" s="56" t="s">
        <v>130</v>
      </c>
      <c r="D87" s="113" t="s">
        <v>127</v>
      </c>
      <c r="E87" s="58" t="s">
        <v>12</v>
      </c>
      <c r="F87" s="59">
        <v>1.5</v>
      </c>
      <c r="G87" s="73">
        <v>127.6</v>
      </c>
      <c r="H87" s="86">
        <v>159.5</v>
      </c>
      <c r="I87" s="73">
        <f>F87*H87</f>
        <v>239.25</v>
      </c>
      <c r="M87" s="88">
        <f t="shared" si="4"/>
        <v>0</v>
      </c>
    </row>
    <row r="88" spans="1:13" ht="15">
      <c r="A88" s="126" t="s">
        <v>75</v>
      </c>
      <c r="B88" s="161" t="s">
        <v>15</v>
      </c>
      <c r="C88" s="162"/>
      <c r="D88" s="162"/>
      <c r="E88" s="162"/>
      <c r="F88" s="162"/>
      <c r="G88" s="163"/>
      <c r="H88" s="122"/>
      <c r="I88" s="99">
        <f>SUM(I90:I91)</f>
        <v>54978</v>
      </c>
      <c r="M88" s="88">
        <f t="shared" si="4"/>
        <v>294.2775</v>
      </c>
    </row>
    <row r="89" spans="1:13" s="11" customFormat="1" ht="15">
      <c r="A89" s="161" t="s">
        <v>91</v>
      </c>
      <c r="B89" s="162"/>
      <c r="C89" s="162"/>
      <c r="D89" s="162"/>
      <c r="E89" s="162"/>
      <c r="F89" s="162"/>
      <c r="G89" s="162"/>
      <c r="H89" s="162"/>
      <c r="I89" s="163"/>
      <c r="M89" s="88">
        <f t="shared" si="4"/>
        <v>67622.94</v>
      </c>
    </row>
    <row r="90" spans="1:13" ht="15">
      <c r="A90" s="116" t="s">
        <v>107</v>
      </c>
      <c r="B90" s="55" t="s">
        <v>73</v>
      </c>
      <c r="C90" s="56" t="s">
        <v>130</v>
      </c>
      <c r="D90" s="113" t="s">
        <v>128</v>
      </c>
      <c r="E90" s="58" t="s">
        <v>12</v>
      </c>
      <c r="F90" s="59">
        <v>3400</v>
      </c>
      <c r="G90" s="73">
        <v>1.45</v>
      </c>
      <c r="H90" s="86">
        <v>1.81</v>
      </c>
      <c r="I90" s="73">
        <f>F90*H90</f>
        <v>6154</v>
      </c>
      <c r="M90" s="88">
        <f t="shared" si="4"/>
        <v>0</v>
      </c>
    </row>
    <row r="91" spans="1:13" ht="15">
      <c r="A91" s="116" t="s">
        <v>214</v>
      </c>
      <c r="B91" s="55" t="s">
        <v>74</v>
      </c>
      <c r="C91" s="56" t="s">
        <v>130</v>
      </c>
      <c r="D91" s="114" t="s">
        <v>92</v>
      </c>
      <c r="E91" s="58" t="s">
        <v>12</v>
      </c>
      <c r="F91" s="59">
        <v>3400</v>
      </c>
      <c r="G91" s="73">
        <v>11.49</v>
      </c>
      <c r="H91" s="86">
        <v>14.36</v>
      </c>
      <c r="I91" s="73">
        <f>F91*H91</f>
        <v>48824</v>
      </c>
      <c r="M91" s="88" t="e">
        <f>#REF!*1.23</f>
        <v>#REF!</v>
      </c>
    </row>
    <row r="92" spans="1:13" ht="15">
      <c r="A92" s="139" t="s">
        <v>108</v>
      </c>
      <c r="B92" s="158" t="s">
        <v>9</v>
      </c>
      <c r="C92" s="159"/>
      <c r="D92" s="159"/>
      <c r="E92" s="159"/>
      <c r="F92" s="159"/>
      <c r="G92" s="160"/>
      <c r="H92" s="127"/>
      <c r="I92" s="99">
        <f>SUM(I93)</f>
        <v>1895.856</v>
      </c>
      <c r="M92" s="88">
        <f>I91*1.23</f>
        <v>60053.52</v>
      </c>
    </row>
    <row r="93" spans="1:13" s="11" customFormat="1" ht="15">
      <c r="A93" s="117" t="s">
        <v>215</v>
      </c>
      <c r="B93" s="55" t="s">
        <v>28</v>
      </c>
      <c r="C93" s="56" t="s">
        <v>130</v>
      </c>
      <c r="D93" s="113" t="s">
        <v>161</v>
      </c>
      <c r="E93" s="58" t="s">
        <v>12</v>
      </c>
      <c r="F93" s="59">
        <v>149.28</v>
      </c>
      <c r="G93" s="73">
        <v>10.16</v>
      </c>
      <c r="H93" s="86">
        <v>12.7</v>
      </c>
      <c r="I93" s="73">
        <f>F93*H93</f>
        <v>1895.856</v>
      </c>
      <c r="M93" s="88">
        <f t="shared" si="4"/>
        <v>2331.90288</v>
      </c>
    </row>
    <row r="94" spans="2:13" ht="15">
      <c r="B94" s="61"/>
      <c r="C94" s="70"/>
      <c r="D94" s="97"/>
      <c r="E94" s="70"/>
      <c r="F94" s="71"/>
      <c r="G94" s="72"/>
      <c r="H94" s="72"/>
      <c r="I94" s="100"/>
      <c r="M94" s="88">
        <f t="shared" si="4"/>
        <v>2331.90288</v>
      </c>
    </row>
    <row r="95" spans="2:13" ht="15">
      <c r="B95" s="101"/>
      <c r="C95" s="45"/>
      <c r="D95" s="97"/>
      <c r="E95" s="45"/>
      <c r="F95" s="31"/>
      <c r="G95" s="32"/>
      <c r="H95" s="32"/>
      <c r="I95" s="74"/>
      <c r="M95" s="88">
        <f t="shared" si="4"/>
        <v>0</v>
      </c>
    </row>
    <row r="96" spans="2:9" ht="14.25">
      <c r="B96" s="101"/>
      <c r="C96" s="97"/>
      <c r="D96" s="147" t="s">
        <v>223</v>
      </c>
      <c r="E96" s="97"/>
      <c r="F96" s="102"/>
      <c r="G96" s="103"/>
      <c r="H96" s="103"/>
      <c r="I96" s="100">
        <f>SUM(I92+I88+I82+I75+I47+I43+I33+I17+I10)</f>
        <v>3481216.9369000006</v>
      </c>
    </row>
    <row r="97" spans="2:9" s="10" customFormat="1" ht="18">
      <c r="B97" s="101"/>
      <c r="C97" s="145"/>
      <c r="D97" s="149"/>
      <c r="E97" s="146"/>
      <c r="F97" s="95"/>
      <c r="G97" s="96"/>
      <c r="H97" s="96"/>
      <c r="I97" s="111"/>
    </row>
    <row r="98" spans="2:9" ht="14.25">
      <c r="B98" s="106"/>
      <c r="C98" s="107"/>
      <c r="D98" s="148"/>
      <c r="E98" s="107"/>
      <c r="I98" s="112"/>
    </row>
    <row r="99" spans="2:9" ht="18">
      <c r="B99" s="108"/>
      <c r="C99" s="109"/>
      <c r="D99" s="110" t="s">
        <v>131</v>
      </c>
      <c r="E99" s="109"/>
      <c r="F99" s="150" t="s">
        <v>159</v>
      </c>
      <c r="G99" s="151"/>
      <c r="H99" s="151"/>
      <c r="I99" s="151"/>
    </row>
    <row r="100" spans="2:9" s="11" customFormat="1" ht="18">
      <c r="B100" s="106"/>
      <c r="C100" s="107"/>
      <c r="D100" s="110" t="s">
        <v>21</v>
      </c>
      <c r="E100" s="107"/>
      <c r="F100" s="150" t="s">
        <v>160</v>
      </c>
      <c r="G100" s="151"/>
      <c r="H100" s="151"/>
      <c r="I100" s="151"/>
    </row>
    <row r="101" spans="3:9" ht="18">
      <c r="C101" s="9"/>
      <c r="D101" s="10"/>
      <c r="G101" s="93"/>
      <c r="I101" s="94"/>
    </row>
    <row r="102" spans="3:9" ht="18">
      <c r="C102" s="9"/>
      <c r="D102" s="10"/>
      <c r="I102" s="13"/>
    </row>
    <row r="103" spans="4:9" ht="18">
      <c r="D103" s="10"/>
      <c r="I103" s="13"/>
    </row>
    <row r="104" spans="4:9" ht="18">
      <c r="D104" s="10"/>
      <c r="I104" s="138">
        <f>I96*0.05</f>
        <v>174060.84684500005</v>
      </c>
    </row>
    <row r="108" spans="9:13" ht="14.25">
      <c r="I108" s="138">
        <f>I96-I104</f>
        <v>3307156.0900550005</v>
      </c>
      <c r="M108" s="89">
        <f>I96-M113</f>
        <v>2436851.8558300007</v>
      </c>
    </row>
    <row r="113" ht="14.25">
      <c r="M113" s="140">
        <f>I96*0.3</f>
        <v>1044365.0810700001</v>
      </c>
    </row>
    <row r="115" ht="14.25">
      <c r="M115" s="89"/>
    </row>
    <row r="116" spans="7:13" ht="14.25">
      <c r="G116" s="144">
        <v>2703.78</v>
      </c>
      <c r="H116" s="93">
        <v>1.88</v>
      </c>
      <c r="I116" s="138">
        <f>G116*H116</f>
        <v>5083.1064</v>
      </c>
      <c r="M116" s="89">
        <f>M120+M121+N120+O120</f>
        <v>3481216.936900001</v>
      </c>
    </row>
    <row r="119" spans="12:15" ht="14.25">
      <c r="L119" s="141"/>
      <c r="M119" s="141" t="s">
        <v>239</v>
      </c>
      <c r="N119" s="141">
        <v>2</v>
      </c>
      <c r="O119" s="141">
        <v>3</v>
      </c>
    </row>
    <row r="120" spans="12:15" ht="14.25">
      <c r="L120" s="141" t="s">
        <v>240</v>
      </c>
      <c r="M120" s="142">
        <f>M113-M121</f>
        <v>870304.234225</v>
      </c>
      <c r="N120" s="142">
        <f>M108/2</f>
        <v>1218425.9279150004</v>
      </c>
      <c r="O120" s="142">
        <f>M108/2</f>
        <v>1218425.9279150004</v>
      </c>
    </row>
    <row r="121" spans="12:15" ht="14.25">
      <c r="L121" s="141" t="s">
        <v>241</v>
      </c>
      <c r="M121" s="143">
        <f>I96*0.05</f>
        <v>174060.84684500005</v>
      </c>
      <c r="N121" s="141"/>
      <c r="O121" s="141"/>
    </row>
    <row r="122" spans="12:15" ht="14.25">
      <c r="L122" s="141"/>
      <c r="M122" s="141"/>
      <c r="N122" s="141"/>
      <c r="O122" s="141"/>
    </row>
    <row r="125" ht="14.25">
      <c r="M125" s="89">
        <f>(M120+M121)/I96</f>
        <v>0.3</v>
      </c>
    </row>
    <row r="126" spans="10:13" ht="14.25">
      <c r="J126" s="89">
        <f>M120+N120+O120+M121</f>
        <v>3481216.936900001</v>
      </c>
      <c r="M126" s="89">
        <f>(N120+O120)/I96</f>
        <v>0.7000000000000001</v>
      </c>
    </row>
  </sheetData>
  <sheetProtection/>
  <mergeCells count="31">
    <mergeCell ref="A49:G49"/>
    <mergeCell ref="D46:G46"/>
    <mergeCell ref="B43:G43"/>
    <mergeCell ref="F99:I99"/>
    <mergeCell ref="H89:I89"/>
    <mergeCell ref="A89:G89"/>
    <mergeCell ref="A80:G80"/>
    <mergeCell ref="A76:G76"/>
    <mergeCell ref="A83:G83"/>
    <mergeCell ref="B88:G88"/>
    <mergeCell ref="B82:G82"/>
    <mergeCell ref="D1:I4"/>
    <mergeCell ref="B33:G33"/>
    <mergeCell ref="A34:G34"/>
    <mergeCell ref="A38:I38"/>
    <mergeCell ref="B47:G47"/>
    <mergeCell ref="B75:G75"/>
    <mergeCell ref="A70:G70"/>
    <mergeCell ref="H49:I49"/>
    <mergeCell ref="A48:G48"/>
    <mergeCell ref="H48:I48"/>
    <mergeCell ref="F100:I100"/>
    <mergeCell ref="B10:G10"/>
    <mergeCell ref="B17:G17"/>
    <mergeCell ref="A64:G64"/>
    <mergeCell ref="B92:G92"/>
    <mergeCell ref="A86:G86"/>
    <mergeCell ref="H64:I64"/>
    <mergeCell ref="H70:I70"/>
    <mergeCell ref="H76:I76"/>
    <mergeCell ref="H83:I83"/>
  </mergeCells>
  <conditionalFormatting sqref="F99:F100">
    <cfRule type="expression" priority="2" dxfId="1">
      <formula>$B99="X"</formula>
    </cfRule>
  </conditionalFormatting>
  <printOptions/>
  <pageMargins left="0.5118110236220472" right="0.2362204724409449" top="0.31" bottom="0.46" header="0.31496062992125984" footer="0.2"/>
  <pageSetup fitToHeight="0" fitToWidth="1" horizontalDpi="600" verticalDpi="600" orientation="landscape" paperSize="9" scale="72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paco.convenios02</cp:lastModifiedBy>
  <cp:lastPrinted>2022-06-07T17:31:19Z</cp:lastPrinted>
  <dcterms:created xsi:type="dcterms:W3CDTF">2014-08-02T11:14:50Z</dcterms:created>
  <dcterms:modified xsi:type="dcterms:W3CDTF">2022-06-07T17:36:54Z</dcterms:modified>
  <cp:category/>
  <cp:version/>
  <cp:contentType/>
  <cp:contentStatus/>
</cp:coreProperties>
</file>